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9.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10.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1.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1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1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8.xml" ContentType="application/vnd.openxmlformats-officedocument.drawing+xml"/>
  <Override PartName="/xl/ctrlProps/ctrlProp151.xml" ContentType="application/vnd.ms-excel.controlproperties+xml"/>
  <Override PartName="/xl/drawings/drawing19.xml" ContentType="application/vnd.openxmlformats-officedocument.drawing+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autoCompressPictures="0"/>
  <mc:AlternateContent xmlns:mc="http://schemas.openxmlformats.org/markup-compatibility/2006">
    <mc:Choice Requires="x15">
      <x15ac:absPath xmlns:x15ac="http://schemas.microsoft.com/office/spreadsheetml/2010/11/ac" url="/Users/sales/SALES_DEPT/*QUOTES:PRIX/"/>
    </mc:Choice>
  </mc:AlternateContent>
  <xr:revisionPtr revIDLastSave="0" documentId="13_ncr:8001_{B8FBE077-4EF0-6744-B53B-F275F6BC9A62}" xr6:coauthVersionLast="47" xr6:coauthVersionMax="47" xr10:uidLastSave="{00000000-0000-0000-0000-000000000000}"/>
  <workbookProtection workbookAlgorithmName="SHA-512" workbookHashValue="lxaD2jXO9wbA0gxEMgGGcWKyvIhclTyF7sb2cnIG8y+YiHfhnglz925BHGU3zo5/ee6RDSAHSjDEDpZb9RfzcA==" workbookSaltValue="MuSwGgiZmLjnyccxHtx4Mw==" workbookSpinCount="100000" lockStructure="1"/>
  <bookViews>
    <workbookView xWindow="11180" yWindow="500" windowWidth="33620" windowHeight="25940" tabRatio="916" activeTab="1" xr2:uid="{4B954DA2-EAF5-432B-84D9-24BD6E8EB3E5}"/>
  </bookViews>
  <sheets>
    <sheet name="Home" sheetId="28" r:id="rId1"/>
    <sheet name="Quote" sheetId="26" r:id="rId2"/>
    <sheet name="Inv" sheetId="33" state="veryHidden" r:id="rId3"/>
    <sheet name="Ship$" sheetId="43" state="veryHidden" r:id="rId4"/>
    <sheet name="WinRHIZO" sheetId="5" r:id="rId5"/>
    <sheet name="WinRHIZOTron" sheetId="19" r:id="rId6"/>
    <sheet name="WinSEEDLE" sheetId="21" r:id="rId7"/>
    <sheet name="WinFOLIA" sheetId="20" r:id="rId8"/>
    <sheet name="WinCAM" sheetId="22" r:id="rId9"/>
    <sheet name="WinDENDRO" sheetId="1" r:id="rId10"/>
    <sheet name="WinCELL" sheetId="18" r:id="rId11"/>
    <sheet name="WinSCANOPY" sheetId="23" r:id="rId12"/>
    <sheet name="Calc" sheetId="2" state="veryHidden" r:id="rId13"/>
    <sheet name="Vars" sheetId="14" state="veryHidden" r:id="rId14"/>
    <sheet name="PList" sheetId="34" state="veryHidden" r:id="rId15"/>
    <sheet name="C_Inv" sheetId="41" state="veryHidden" r:id="rId16"/>
    <sheet name="Prod" sheetId="35" state="veryHidden" r:id="rId17"/>
    <sheet name="EtiqShip" sheetId="36" state="veryHidden" r:id="rId18"/>
    <sheet name="QCalc" sheetId="27" state="veryHidden" r:id="rId19"/>
    <sheet name="Static $" sheetId="37" r:id="rId20"/>
    <sheet name="Static $ NoSoft" sheetId="38" r:id="rId21"/>
    <sheet name="QuoteExport" sheetId="29" state="veryHidden" r:id="rId22"/>
  </sheets>
  <definedNames>
    <definedName name="_xlnm._FilterDatabase" localSheetId="19" hidden="1">'Static $'!$A$1:$C$147</definedName>
    <definedName name="_xlnm._FilterDatabase" localSheetId="20" hidden="1">'Static $ NoSoft'!$A$1:$H$125</definedName>
    <definedName name="AccountNumber">Vars!$C$127</definedName>
    <definedName name="BoxSizeAndWeight">Vars!$K$66:$L$85</definedName>
    <definedName name="Bureau_Description">Vars!$C$136</definedName>
    <definedName name="Bureau_Percent">Vars!$C$135</definedName>
    <definedName name="ButtonGet">Inv!$A$1</definedName>
    <definedName name="C_INV_CheckboxArea">C_Inv!$I$5:$L$7</definedName>
    <definedName name="CALC_Hardware">Calc!#REF!</definedName>
    <definedName name="CAM_Access1">Prod!$C$426</definedName>
    <definedName name="CAM_Access2">Prod!$C$427</definedName>
    <definedName name="CAM_Access3">Prod!$C$428</definedName>
    <definedName name="CAM_Access4">Prod!$C$429</definedName>
    <definedName name="CAM_Access5">Prod!$C$430</definedName>
    <definedName name="CAM_ClientWithOrWithoutScanner">Vars!$I$31</definedName>
    <definedName name="CAM_ClientWithOrWithoutScanner_ChkBox">Vars!$I$32</definedName>
    <definedName name="CAM_IndexClientVersion">Vars!$I$25</definedName>
    <definedName name="CAM_IndexModelClient">Vars!$I$65</definedName>
    <definedName name="CAM_IndexModelSoftware">Vars!$I$64</definedName>
    <definedName name="CAM_IndexScanner">Vars!$I$4</definedName>
    <definedName name="CAM_IndexSoftware">Vars!$I$5</definedName>
    <definedName name="CAM_ManuelM1">Prod!$C$362</definedName>
    <definedName name="CAM_N_AlreadyHaveSoftware">Vars!$I$37</definedName>
    <definedName name="CAM_N_Software">Vars!$I$34</definedName>
    <definedName name="CAM_N_System">Vars!$I$36</definedName>
    <definedName name="CAM_N_UpgradeUpdate">Vars!$I$35</definedName>
    <definedName name="CAM_Option1">Vars!$I$13</definedName>
    <definedName name="CAM_Option2">Vars!$I$14</definedName>
    <definedName name="CAM_Option3">Vars!$I$15</definedName>
    <definedName name="CAM_Option4">Vars!$I$16</definedName>
    <definedName name="CAM_OptionTPU">Vars!$I$7</definedName>
    <definedName name="CAM_PosiOrBlueBG_Checkbox">Vars!$I$33</definedName>
    <definedName name="CAM_Serial">Prod!$E$361&amp;IF(LEN(Prod!$E$365)&gt;0,", " &amp; Prod!$E$365,"")</definedName>
    <definedName name="CAM_SerialTPU">Prod!$J$361&amp;IF(LEN(Prod!$J$365)&gt;0,", " &amp; Prod!$J$365,"")</definedName>
    <definedName name="CAM_SoftwareFullNames">Vars!$I$38:$I$40</definedName>
    <definedName name="CAM_SoftwareList">Vars!$I$51:$I$53</definedName>
    <definedName name="CAM_SoftwarePriceList">Calc!$A$67:$A$69</definedName>
    <definedName name="CAM_UpgradeNModels">Vars!$I$28</definedName>
    <definedName name="CAM_YearClient">WinCAM!#REF!</definedName>
    <definedName name="CAM_YearMostRecent">Vars!$I$27</definedName>
    <definedName name="CasesGrisesManuellesProd" localSheetId="16">Prod!$L$3,Prod!#REF!,Prod!#REF!,Prod!#REF!,Prod!$M$4,Prod!$E$5,Prod!$D$6,Prod!$J$6,Prod!$D$7,Prod!$H$6:$H$7,Prod!$J$7,Prod!$K$7,Prod!$M$7,Prod!$I$11,Prod!$M$11,Prod!$H$14,Prod!$K$14,Prod!$H$17,Prod!$K$17,Prod!$H$20,Prod!$K$20,Prod!$H$23,Prod!$K$23,Prod!$H$26,Prod!$K$26,Prod!$H$29,Prod!$K$29,Prod!$H$32,Prod!$K$32,Prod!$H$35,Prod!$K$35,Prod!$H$38,Prod!$K$38,Prod!$H$41,Prod!$K$41,Prod!$H$44,Prod!$K$44,Prod!$H$47,Prod!$K$47,Prod!$H$50,Prod!$K$50,Prod!$H$53,Prod!$K$53,Prod!$H$56,Prod!$K$56,Prod!$H$59,Prod!$K$59,Prod!$H$62,Prod!$K$62,Prod!$H$65,Prod!$K$65,Prod!$H$68,Prod!$K$68,Prod!$H$71,Prod!$K$71,Prod!$H$74,Prod!$K$74,Prod!$H$77,Prod!$K$77,Prod!$H$80,Prod!$K$80,Prod!$H$83,Prod!$K$83,Prod!$H$86,Prod!$K$86,Prod!$H$89,Prod!$K$89,Prod!$H$92,Prod!$K$92,Prod!$H$95,Prod!$K$95,Prod!$H$98,Prod!$K$98,Prod!$H$101,Prod!$K$101,Prod!$H$104,Prod!$K$104,Prod!$H$107,Prod!$K$107,Prod!$H$110,Prod!$K$110,Prod!$H$113,Prod!$K$113,Prod!$H$116,Prod!$K$116,Prod!$H$119,Prod!$K$119,Prod!$H$122,Prod!$K$122,Prod!$H$125,Prod!$K$125,Prod!$H$128,Prod!$K$128,Prod!$H$131,Prod!$K$131,Prod!$H$134,Prod!$K$134,Prod!$H$137,Prod!$K$137,Prod!$H$140,Prod!$K$140,Prod!$H$143,Prod!$K$143,Prod!$H$146,Prod!$K$146,Prod!$H$149,Prod!$K$149,Prod!$H$152,Prod!$K$152,Prod!$H$155,Prod!$K$155,Prod!$H$158,Prod!$K$158,Prod!$H$161,Prod!$K$161,Prod!$H$164,Prod!$K$164,Prod!$H$167,Prod!$K$167,Prod!$H$170,Prod!$K$170,Prod!$H$173,Prod!$K$173,Prod!$H$176,Prod!$K$176,Prod!$H$179,Prod!$K$179,Prod!$H$182,Prod!$K$182,Prod!$H$185,Prod!$K$185,Prod!$H$188,Prod!$K$188,Prod!$H$191,Prod!$K$191,Prod!$H$194,Prod!$K$194,Prod!$H$197,Prod!$K$197,Prod!$H$200,Prod!$K$200,Prod!$H$203,Prod!$K$203,Prod!$H$206,Prod!$K$206,Prod!$H$209,Prod!$K$209,Prod!$H$212,Prod!$K$212,Prod!$H$215,Prod!$K$215,Prod!$H$218,Prod!$K$218,Prod!$H$221,Prod!$K$221,Prod!$H$224,Prod!$K$224,Prod!$H$227,Prod!$K$227,Prod!$H$230,Prod!$K$230,Prod!$H$233,Prod!$K$233,Prod!$H$236,Prod!$K$236,Prod!$H$239,Prod!$K$239,Prod!$H$242,Prod!$K$242,Prod!$H$245,Prod!$K$245,Prod!$H$248,Prod!$K$248,Prod!$E$251,Prod!$J$251,Prod!$J$253,Prod!$M$253,Prod!$E$255,Prod!$J$255 Pr</definedName>
    <definedName name="CELL_ClientWithOrWithoutScanner">Vars!$D$31</definedName>
    <definedName name="CELL_IndexClientVersion">Vars!$D$25</definedName>
    <definedName name="CELL_IndexModelClient">Vars!$D$65</definedName>
    <definedName name="CELL_IndexModelSoftware">Vars!$D$64</definedName>
    <definedName name="CELL_IndexSoftware">Vars!$D$5</definedName>
    <definedName name="CELL_N_AlreadyHaveSoftware">Vars!$D$37</definedName>
    <definedName name="CELL_N_Software">Vars!$D$34</definedName>
    <definedName name="CELL_N_System">Vars!$D$36</definedName>
    <definedName name="CELL_N_UpgradeUpdate">Vars!$D$35</definedName>
    <definedName name="CELL_OptionXL">Vars!$D$6</definedName>
    <definedName name="CELL_SoftwareFullNames">Vars!$D$38:$D$40</definedName>
    <definedName name="CELL_SoftwareList">Vars!$D$51:$D$53</definedName>
    <definedName name="CELL_SoftwarePriceList">Calc!$A$51:$A$53</definedName>
    <definedName name="CELL_UpgradeNModels">Vars!$D$28</definedName>
    <definedName name="CELL_YearClient">WinCELL!#REF!</definedName>
    <definedName name="CELL_YearMostRecent">Vars!$D$27</definedName>
    <definedName name="Checkbox_Descriptions">Vars!$C$111</definedName>
    <definedName name="Checkbox_EtiqShip1">Vars!$C$121</definedName>
    <definedName name="Checkbox_EtiqShip2">Vars!$C$122</definedName>
    <definedName name="Checkbox_EtiqShip3">Vars!$C$123</definedName>
    <definedName name="Checkbox_EtiqShip4">Vars!$C$124</definedName>
    <definedName name="Checkbox_EtiqShip5">Vars!$C$125</definedName>
    <definedName name="Checkbox_EtiqShip6">Vars!$C$126</definedName>
    <definedName name="Checkbox_Instructions">Vars!$C$110</definedName>
    <definedName name="Checkbox_SameAsBillTo">Vars!$C$115</definedName>
    <definedName name="Checkbox_SansScanner">Vars!$C$96</definedName>
    <definedName name="Checkbox_Updates">Vars!$C$112</definedName>
    <definedName name="Checkbox_WithScan">Vars!$C$97</definedName>
    <definedName name="ClientAExp12000">Prod!$C$433</definedName>
    <definedName name="CountryCodeShip" localSheetId="15">C_Inv!$K$15</definedName>
    <definedName name="CountryCodeShip" localSheetId="2">Inv!$K$15</definedName>
    <definedName name="CountryCodeShip" localSheetId="14">PList!$K$15</definedName>
    <definedName name="CteUpdate">Vars!$C$170</definedName>
    <definedName name="Currency">Vars!$C$114</definedName>
    <definedName name="CustomerNumber">Home!$B$6</definedName>
    <definedName name="DatePick_ChosenMonth">OFFSET(Vars!$G$90,0,DatePick_Month-1,COUNTA(OFFSET(Vars!$G$90:$G$120,0,DatePick_Month-1)))</definedName>
    <definedName name="DatePick_Day">Vars!$V$90</definedName>
    <definedName name="DatePick_Month">Vars!$W$90</definedName>
    <definedName name="DatePick_MonthNames">Vars!$T$90:$T$101</definedName>
    <definedName name="DatePick_ValidUntil">Calc!#REF!</definedName>
    <definedName name="DatePick_Year">Vars!$Y$90</definedName>
    <definedName name="DatePick_YearIndex">Vars!$X$90</definedName>
    <definedName name="DatePick_YearNames">Vars!$U$90:$U$120</definedName>
    <definedName name="DENDRO_Access1">Prod!$C$402</definedName>
    <definedName name="DENDRO_Access2">Prod!$C$404</definedName>
    <definedName name="DENDRO_Access3">Prod!$C$406</definedName>
    <definedName name="DENDRO_Access4">Prod!$C$408</definedName>
    <definedName name="DENDRO_Access5">Prod!$C$410</definedName>
    <definedName name="DENDRO_BlueTargetCalib1">Prod!$O$10</definedName>
    <definedName name="DENDRO_ClefSN_P1">Prod!$H$11</definedName>
    <definedName name="DENDRO_ClientWithOrWithoutScanner">Vars!$C$31</definedName>
    <definedName name="DENDRO_ClientWithOrWithoutScanner_ChkBox">Vars!$C$32</definedName>
    <definedName name="DENDRO_IndexClientVersion">Vars!$C$25</definedName>
    <definedName name="DENDRO_IndexModelClient">Vars!$C$65</definedName>
    <definedName name="DENDRO_IndexModelSoftware">Vars!$C$64</definedName>
    <definedName name="DENDRO_IndexScanner">Vars!$C$4</definedName>
    <definedName name="DENDRO_IndexSoftware">Vars!$C$5</definedName>
    <definedName name="DENDRO_ManuelM1">Prod!$C$252</definedName>
    <definedName name="DENDRO_N_AlreadyHaveSoftware">Vars!$C$37</definedName>
    <definedName name="DENDRO_N_Software">Vars!$C$34</definedName>
    <definedName name="DENDRO_N_System">Vars!$C$36</definedName>
    <definedName name="DENDRO_N_UpgradeUpdate">Vars!$C$35</definedName>
    <definedName name="DENDRO_Option1">Vars!$C$13</definedName>
    <definedName name="DENDRO_Option2">Vars!$C$14</definedName>
    <definedName name="DENDRO_Option3">Vars!$C$15</definedName>
    <definedName name="DENDRO_Option4">Vars!$C$16</definedName>
    <definedName name="DENDRO_Option5">Vars!$C$17</definedName>
    <definedName name="DENDRO_OptionTPU">Vars!$C$7</definedName>
    <definedName name="DENDRO_OptionXL">Vars!$C$6</definedName>
    <definedName name="DENDRO_Serial">Prod!$E$251&amp;IF(LEN(Prod!$E$255)&gt;0,", " &amp; Prod!$E$255,"")</definedName>
    <definedName name="DENDRO_SerialTPU">Prod!$J$251&amp;IF(LEN(Prod!$J$255)&gt;0,", " &amp; Prod!$J$255,"")</definedName>
    <definedName name="DENDRO_SoftwareFullNames">Vars!$C$38:$C$40</definedName>
    <definedName name="DENDRO_SoftwareList">Vars!$C$51:$C$53</definedName>
    <definedName name="DENDRO_SoftwarePriceList">Calc!$A$48:$A$50</definedName>
    <definedName name="DENDRO_UpgradeNModels">Vars!$C$28</definedName>
    <definedName name="DENDRO_V850_3">"DENDRO_V850_2"</definedName>
    <definedName name="DENDRO_VerifierPar1">Prod!$L$11</definedName>
    <definedName name="DENDRO_YearClient">WinDENDRO!#REF!</definedName>
    <definedName name="DENDRO_YearMostRecent">Vars!$C$27</definedName>
    <definedName name="Distributeurs_Rabais">Vars!$C$98</definedName>
    <definedName name="FileName_Invoice" localSheetId="15">C_Inv!A1048576</definedName>
    <definedName name="FileName_Invoice">Inv!A1048576</definedName>
    <definedName name="FileName_Quote">Quote!$B$66</definedName>
    <definedName name="FileNameClient">Calc!#REF!</definedName>
    <definedName name="FileNameDist">Calc!#REF!</definedName>
    <definedName name="FileNameMisc">Calc!#REF!</definedName>
    <definedName name="FileNames_Client">Vars!$E$144</definedName>
    <definedName name="FileNames_Dist">Vars!$D$144</definedName>
    <definedName name="FileNameWithNoScanners">Vars!$C$113</definedName>
    <definedName name="FLAGS_IndexMatch">INDEX(Vars!$N$185:$N$187,MATCH(Currency,Vars!$M$185:$M$187,0))</definedName>
    <definedName name="FOLIA_Access1">Prod!$C$416</definedName>
    <definedName name="FOLIA_Access2">Prod!$C$417</definedName>
    <definedName name="FOLIA_Access3">Prod!$C$418</definedName>
    <definedName name="FOLIA_Access4">Prod!$C$419</definedName>
    <definedName name="FOLIA_Access5">Prod!$C$420</definedName>
    <definedName name="FOLIA_ClientWithOrWithoutScanner">Vars!$G$31</definedName>
    <definedName name="FOLIA_ClientWithOrWithoutScanner_ChkBox">Vars!$G$32</definedName>
    <definedName name="FOLIA_IndexClientVersion">Vars!$G$25</definedName>
    <definedName name="FOLIA_IndexModelClient">Vars!$G$65</definedName>
    <definedName name="FOLIA_IndexModelSoftware">Vars!$G$64</definedName>
    <definedName name="FOLIA_IndexScanner">Vars!$G$4</definedName>
    <definedName name="FOLIA_IndexSoftware">Vars!$G$5</definedName>
    <definedName name="FOLIA_ManuelM1">Prod!$C$307</definedName>
    <definedName name="FOLIA_N_AlreadyHaveSoftware">Vars!$G$37</definedName>
    <definedName name="FOLIA_N_Software">Vars!$G$34</definedName>
    <definedName name="FOLIA_N_System">Vars!$G$36</definedName>
    <definedName name="FOLIA_N_UpgradeUpdate">Vars!$G$35</definedName>
    <definedName name="FOLIA_Option1">Vars!$G$13</definedName>
    <definedName name="FOLIA_Option2">Vars!$G$14</definedName>
    <definedName name="FOLIA_Option3">Vars!$G$15</definedName>
    <definedName name="FOLIA_Option4">Vars!$G$16</definedName>
    <definedName name="FOLIA_OptionTPU">Vars!$G$7</definedName>
    <definedName name="FOLIA_OptionXL">Vars!$G$6</definedName>
    <definedName name="FOLIA_PosiOrBlueBG_Checkbox">Vars!$G$33</definedName>
    <definedName name="FOLIA_Serial">Prod!$E$306&amp;IF(LEN(Prod!$E$310)&gt;0,", " &amp; Prod!$E$310,"")</definedName>
    <definedName name="FOLIA_SerialTPU">Prod!$J$306&amp;IF(LEN(Prod!$J$310)&gt;0,", " &amp; Prod!$J$310,"")</definedName>
    <definedName name="FOLIA_SoftwareFullNames">Vars!$G$38:$G$40</definedName>
    <definedName name="FOLIA_SoftwareList">Vars!$G$51:$G$53</definedName>
    <definedName name="FOLIA_SoftwarePriceList">Calc!$A$61:$A$63</definedName>
    <definedName name="FOLIA_UpgradeNModels">Vars!$G$28</definedName>
    <definedName name="FOLIA_YearClient">WinFOLIA!#REF!</definedName>
    <definedName name="FOLIA_YearMostRecent">Vars!$G$27</definedName>
    <definedName name="Francais">Vars!$C$131</definedName>
    <definedName name="HOME_Add1">Home!$B$11</definedName>
    <definedName name="HOME_Add2">Home!$B$12</definedName>
    <definedName name="HOME_City">Home!$B$13</definedName>
    <definedName name="HOME_City_Ship">Home!$L$13</definedName>
    <definedName name="HOME_Company">Home!$B$10</definedName>
    <definedName name="HOME_Country">Home!$B$14</definedName>
    <definedName name="HOME_Country_Ship">Home!$L$14</definedName>
    <definedName name="HOME_FirstName">Home!$F$9</definedName>
    <definedName name="HOME_LastName">Home!$H$9</definedName>
    <definedName name="HOME_Province">Home!$H$14</definedName>
    <definedName name="HOME_Province_Ship">Home!$R$14</definedName>
    <definedName name="HOME_TaxID">Home!$B$16</definedName>
    <definedName name="HOME_Tel">Home!$B$15</definedName>
    <definedName name="HOME_Title">Home!$B$9</definedName>
    <definedName name="HOME_Zip">Home!$H$15</definedName>
    <definedName name="HOME_Zip_Ship">Home!$R$15</definedName>
    <definedName name="IndexGenerateDist">Vars!$C$100</definedName>
    <definedName name="IndexZone">Vars!$C$99</definedName>
    <definedName name="INV_ButtonGet">Inv!$A$1</definedName>
    <definedName name="INV_CellToWriteDiscount" localSheetId="15">C_Inv!$Q$54</definedName>
    <definedName name="INV_CellToWriteDiscount">Inv!$Q$54</definedName>
    <definedName name="INV_CheckboxArea">Inv!$I$5:$L$7</definedName>
    <definedName name="INV_Date">Inv!$Q$2</definedName>
    <definedName name="INV_Range_ChkBoxInternetDownload">Inv!$K$7</definedName>
    <definedName name="INV_Range_ChkBoxNotForClient1">Inv!$I$5</definedName>
    <definedName name="INV_Range_ChkBoxNotForClient2">Inv!$I$6</definedName>
    <definedName name="INV_Range_ChkBoxNotForClient3">Inv!$K$6</definedName>
    <definedName name="INV_Range_ChkBoxNotForDist1">Inv!$K$5</definedName>
    <definedName name="INV_Shipping" localSheetId="15">C_Inv!$R$57</definedName>
    <definedName name="INV_Shipping">Inv!$R$57</definedName>
    <definedName name="Invoice_Currency" localSheetId="15">C_Inv!$H$62</definedName>
    <definedName name="Invoice_Currency" localSheetId="14">PList!$H$62</definedName>
    <definedName name="Invoice_Currency">Inv!$H$62</definedName>
    <definedName name="LA_GenCalib_Drivers_Instr_Techsup">Calc!$A$18</definedName>
    <definedName name="LC_GenCalib_Drivers_Instr_Techsup">Calc!$A$16</definedName>
    <definedName name="LineBreak">IF(INFO("system")="mac",CHAR(13),CHAR(10))</definedName>
    <definedName name="MinimumFee">Vars!$C$132</definedName>
    <definedName name="N_LAScanners">Vars!$M$71</definedName>
    <definedName name="N_LCScanners">Vars!$M$73</definedName>
    <definedName name="N_OptionsTotal">Vars!$M$37</definedName>
    <definedName name="N_Soft_Upd_Upg_Total">N_SoftwareTotal+N_Upd_Upg_Total</definedName>
    <definedName name="N_SoftwareOrUpdates1To10" localSheetId="15">TableLists[Column2]</definedName>
    <definedName name="N_SoftwareOrUpdates1To10" localSheetId="2">TableLists[Column2]</definedName>
    <definedName name="N_SoftwareOrUpdates1To10" localSheetId="14">TableLists[Column2]</definedName>
    <definedName name="N_SoftwareOrUpdates1To10" localSheetId="20">TableLists[Column2]</definedName>
    <definedName name="N_SoftwareOrUpdates1To10">TableLists[Column2]</definedName>
    <definedName name="N_SoftwareTotal">Vars!$M$34</definedName>
    <definedName name="N_STDScanners">Vars!$M$68</definedName>
    <definedName name="N_SystemTotal">Vars!$M$36</definedName>
    <definedName name="N_Upd_Upg_Total">Vars!$M$35</definedName>
    <definedName name="NMaxTray">Vars!$E$26</definedName>
    <definedName name="NomsZones">Vars!$I$144:$I$153</definedName>
    <definedName name="OptionButton_Suites">Vars!$C$109</definedName>
    <definedName name="PaymentText">Vars!$C$128</definedName>
    <definedName name="_xlnm.Print_Area" localSheetId="15">C_Inv!Print_AreaDyn</definedName>
    <definedName name="_xlnm.Print_Area" localSheetId="17">EtiqShip!$A$1:$P$48</definedName>
    <definedName name="_xlnm.Print_Area" localSheetId="2">Inv!Print_AreaDyn</definedName>
    <definedName name="_xlnm.Print_Area" localSheetId="14">PList!Print_AreaDyn</definedName>
    <definedName name="_xlnm.Print_Area" localSheetId="1">Quote!Print_AreaDyn</definedName>
    <definedName name="_xlnm.Print_Area" localSheetId="3">'Ship$'!$A$1:$Y$31</definedName>
    <definedName name="Print_AreaDyn" localSheetId="15">OFFSET(C_Inv!$A$1, 0, 0, 66, (IF(ROWS(C_Inv!$X$23:$X$53)&gt;COUNTBLANK(C_Inv!$X$23:$X$53),2,1)*19)),C_Inv!$A$70:$R$116</definedName>
    <definedName name="Print_AreaDyn" localSheetId="2">OFFSET(Inv!$A$1, 0, 0, 66, (IF(ROWS(Inv!$X$23:$X$53)&gt;COUNTBLANK(Inv!$X$23:$X$53),2,1)*19)),Inv!$A$70:$R$116</definedName>
    <definedName name="Print_AreaDyn" localSheetId="14">OFFSET(PList!$A$1, 0, 0, 66, (IF(ROWS(PList!$X$23:$X$53)&gt;COUNTBLANK(PList!$X$23:$X$53),2,1)*19))</definedName>
    <definedName name="Print_AreaDyn" localSheetId="1">OFFSET(Quote!$A$1, 0, 0, 66, (IF(ROWS(Quote!$V$23:$V$53)&gt;COUNTBLANK(Quote!$V$23:$V$53),2,1)*18)),Quote!$A$70:$R$116</definedName>
    <definedName name="PrixBig_Tripod">Calc!$A$226</definedName>
    <definedName name="PrixBig_Tripod_Dist">Calc!$A$230</definedName>
    <definedName name="PrixBlBgLA">Calc!$A$14</definedName>
    <definedName name="PrixBlBgLC">Calc!$A$12</definedName>
    <definedName name="PrixBlBgLC_STD_LA">Calc!$A$12:$A$14</definedName>
    <definedName name="PrixBlBgSTD">Calc!$A$13</definedName>
    <definedName name="PrixBlBgSTD_LA_LC">Calc!$A$13,Calc!$A$14,Calc!$A$12</definedName>
    <definedName name="PrixCoreHolder22">Calc!$A$33</definedName>
    <definedName name="PrixCoreHolder36">Calc!$A$34</definedName>
    <definedName name="PrixCorePosiLA">Calc!$A$35</definedName>
    <definedName name="PrixCorePosiSTD">Calc!$A$36</definedName>
    <definedName name="PrixDriverLC">Calc!$A$8</definedName>
    <definedName name="PrixGenericCalibFile">Calc!$A$4</definedName>
    <definedName name="PrixGP27">Calc!$A$251</definedName>
    <definedName name="PrixGP27_Dist">Calc!$A$254</definedName>
    <definedName name="PrixGP27CaseAndMountOnly">Calc!$A$280</definedName>
    <definedName name="PrixGP27CaseAndMountOnly_Dist">Calc!$A$281</definedName>
    <definedName name="PrixGP27SansCaseSansMount">Calc!$A$275</definedName>
    <definedName name="PrixGP27SansCaseSansMount_Dist">Calc!$A$278</definedName>
    <definedName name="PrixGP27SansCaseSansMountSansCam">Calc!$A$291</definedName>
    <definedName name="PrixGP27SansCaseSansMountSansCam_Dist">Calc!$A$294</definedName>
    <definedName name="PrixIndivCalibLC">Calc!$A$6</definedName>
    <definedName name="PrixIndivCalibSTD_LA">Calc!$A$5</definedName>
    <definedName name="PrixLA">Calc!$A$100</definedName>
    <definedName name="PrixLA_Dist">Calc!$A$103</definedName>
    <definedName name="PrixLAavecTPU">Calc!$A$101</definedName>
    <definedName name="PrixLAavecTPU_Dist">Calc!$A$104</definedName>
    <definedName name="PrixLC">Calc!$A$133</definedName>
    <definedName name="PrixLC_Dist">Calc!$A$136</definedName>
    <definedName name="PrixLC_STD_LA">Calc!$A$78:$A$100</definedName>
    <definedName name="PrixLC_STD_LA_Dist">Calc!$B$78:$B$80</definedName>
    <definedName name="PrixLCBlueBg">Calc!$A$133+Calc!$A$12</definedName>
    <definedName name="PrixRootPosiLA">Calc!$A$11</definedName>
    <definedName name="PrixRootPosiSTD">Calc!$A$10</definedName>
    <definedName name="PrixRPosiPLA_Dist">PrixRootPosiLA*(1-RebateHardware)</definedName>
    <definedName name="PrixRPosiSTD_Dist">PrixRootPosiSTD*(1-RebateHardware)</definedName>
    <definedName name="PrixScanopyCaseAndMount">Calc!$A$43</definedName>
    <definedName name="PrixScanopyCaseAndMount_Mini">Calc!$A$44</definedName>
    <definedName name="PrixScanopySystemWithCamera">Calc!$A$39</definedName>
    <definedName name="PrixScanopySystemWithCamera_Mini">Calc!$A$40</definedName>
    <definedName name="PrixScanopySystemWithoutCamera">Calc!$A$41</definedName>
    <definedName name="PrixScanopySystemWithoutCamera_Mini">Calc!$A$42</definedName>
    <definedName name="PrixSLR24">Calc!$A$158</definedName>
    <definedName name="PrixSLR24_Calib">Calc!$A$45</definedName>
    <definedName name="PrixSLR24_Calib_Dist">Calc!$A$46</definedName>
    <definedName name="PrixSLR24_Dist">Calc!$A$161</definedName>
    <definedName name="PrixSLR24_Lentille">Calc!$A$212</definedName>
    <definedName name="PrixSLR24_Lentille_Dist">Calc!$A$216</definedName>
    <definedName name="PrixSLR24CaseAndMountOnly">Calc!$A$188</definedName>
    <definedName name="PrixSLR24CaseAndMountOnly_Dist">Calc!$A$189</definedName>
    <definedName name="PrixSLR24SansCaseSansMount">Calc!$A$183</definedName>
    <definedName name="PrixSLR24SansCaseSansMount_Dist">Calc!$A$186</definedName>
    <definedName name="PrixSLR24SansCaseSansMountSansCam">Calc!$A$198</definedName>
    <definedName name="PrixSLR24SansCaseSansMountSansCam_Dist">Calc!$A$201</definedName>
    <definedName name="PrixSTD">Calc!$A$85</definedName>
    <definedName name="PrixSTD_Dist">Calc!$A$88</definedName>
    <definedName name="PrixTarget">Calc!$A$37</definedName>
    <definedName name="PrixTPU">Calc!$A$116</definedName>
    <definedName name="PrixTPU_Dist">Calc!$A$119</definedName>
    <definedName name="PrixTray10x15cm">Calc!$A$22</definedName>
    <definedName name="PrixTray15x20cm">Calc!$A$23</definedName>
    <definedName name="PrixTray20x25cm">Calc!$A$24</definedName>
    <definedName name="PrixTray20x30cm">Calc!$A$28</definedName>
    <definedName name="PrixTray25x35cm">Calc!$A$29</definedName>
    <definedName name="PrixTray30x40cm">Calc!$A$30</definedName>
    <definedName name="PrixTraySet2MedLarge">Calc!$A$25</definedName>
    <definedName name="PrixTraySet2Small">Calc!$A$20</definedName>
    <definedName name="PrixTraySet3MedLarge">Calc!$A$26</definedName>
    <definedName name="PrixTraySet3Small">Calc!$A$21</definedName>
    <definedName name="PrixTraySet5SmallMedLarge">Calc!$A$27</definedName>
    <definedName name="PrixTWAINDriver">Calc!$A$7</definedName>
    <definedName name="PrixUSBKey">Calc!$A$2</definedName>
    <definedName name="PROD_GreyCell1" comment="Cases grises Header" localSheetId="16">Prod!$L$3,Prod!#REF!,Prod!#REF!,Prod!#REF!,Prod!$M$4,Prod!$E$5,Prod!$D$6,Prod!$H$6,Prod!$J$6,Prod!$M$7</definedName>
    <definedName name="PROD_GreyCell2" comment="Scanners, Cameras and Accessories (should be 60 cells)" localSheetId="16">Prod!$E$251,Prod!$J$251,Prod!$J$253,Prod!$M$253,Prod!$E$255,Prod!$J$255,Prod!$J$257,Prod!$M$257,Prod!$E$271,Prod!$J$271,Prod!$J$273,Prod!$M$273,Prod!$E$278,Prod!$J$278,Prod!$J$280,Prod!$M$280,Prod!$E$306,Prod!$J$306,Prod!$J$308,Prod!$M$308,Prod!$E$310,Prod!$J$310,Prod!$J$312,Prod!$M$312,Prod!$E$326,Prod!$J$326,Prod!$J$328,Prod!$M$328,Prod!$E$333,Prod!$J$333,Prod!$J$335,Prod!$M$335,Prod!$E$361,Prod!$J$361,Prod!$J$363,Prod!$M$363,Prod!$E$365,Prod!$J$365,Prod!$J$367,Prod!$M$367,Prod!$E$381,Prod!$I$381,Prod!#REF!,Prod!#REF!,Prod!$H$383,Prod!$E$385,Prod!$H$385,Prod!$L$385,Prod!$D$386,Prod!$E$387,Prod!$H$387,Prod!$E$402,Prod!$E$404,Prod!#REF!,Prod!$E$417,Prod!$E$426,Prod!$E$427</definedName>
    <definedName name="PROD_GreyCell3" comment="Cases grises Footer" localSheetId="16">Prod!$L$434,Prod!$K$435,Prod!$D$437,Prod!$J$437,Prod!$E$436</definedName>
    <definedName name="PROD_MostPopularScanner">Vars!$L$10</definedName>
    <definedName name="PROD_NumeroClient">Prod!$E$3</definedName>
    <definedName name="QUOTE_Bureaucracy">Vars!$C$105</definedName>
    <definedName name="QUOTE_CellToWriteDiscount">Quote!$P$54</definedName>
    <definedName name="QUOTE_CheckboxArea">Quote!$H$5:$K$7</definedName>
    <definedName name="Quote_Currency">Quote!$K$66</definedName>
    <definedName name="QUOTE_Date">Quote!$P$2</definedName>
    <definedName name="QUOTE_Date2">Quote!$AH$2</definedName>
    <definedName name="QUOTE_DetailedPrices">Vars!$C$94</definedName>
    <definedName name="QUOTE_DistDisableSameClient">Vars!$C$102</definedName>
    <definedName name="QUOTE_FilledByCustomer">Vars!$C$106</definedName>
    <definedName name="QUOTE_InternetDownload">Vars!$C$107</definedName>
    <definedName name="QUOTE_Range_ChkBoxInternetDownload">Quote!$J$7</definedName>
    <definedName name="QUOTE_Range_ChkBoxNotForClient">Quote!$H$5,Quote!$H$6,Quote!$J$6</definedName>
    <definedName name="QUOTE_Range_ChkBoxNotForClient1">Quote!$H$5</definedName>
    <definedName name="QUOTE_Range_ChkBoxNotForClient2">Quote!$H$6</definedName>
    <definedName name="QUOTE_Range_ChkBoxNotForClient3">Quote!$J$6</definedName>
    <definedName name="QUOTE_Range_ChkBoxNotForDist">Quote!$H$6</definedName>
    <definedName name="QUOTE_Range_ChkBoxNotForDist1">Quote!$J$5</definedName>
    <definedName name="QUOTE_SameClient">Vars!$C$95</definedName>
    <definedName name="QUOTE_Shipping">Quote!$Q$57</definedName>
    <definedName name="QUOTE_Split_SoftwareHardware">Vars!$C$108</definedName>
    <definedName name="RabaisSoftwareIndex" localSheetId="15">TableLists[Column3]</definedName>
    <definedName name="RabaisSoftwareIndex" localSheetId="2">TableLists[Column3]</definedName>
    <definedName name="RabaisSoftwareIndex" localSheetId="14">TableLists[Column3]</definedName>
    <definedName name="RabaisSoftwareIndex" localSheetId="20">TableLists[Column3]</definedName>
    <definedName name="RabaisSoftwareIndex">TableLists[Column3]</definedName>
    <definedName name="RebateCalibScanner">Vars!$C$92</definedName>
    <definedName name="RebateCalibScanopy">Vars!$C$93</definedName>
    <definedName name="RebateHardware">Vars!$C$91</definedName>
    <definedName name="RebateScanner">Vars!$C$89</definedName>
    <definedName name="RebateSoftware">Vars!$C$90</definedName>
    <definedName name="RHIZO_Access1">Prod!$C$412</definedName>
    <definedName name="RHIZO_ClientWithOrWithoutScanner">Vars!$E$31</definedName>
    <definedName name="RHIZO_ClientWithOrWithoutScanner_ChkBox">Vars!$E$32</definedName>
    <definedName name="RHIZO_IndexClientVersion">Vars!$E$25</definedName>
    <definedName name="RHIZO_IndexModelClient">Vars!$E$65</definedName>
    <definedName name="RHIZO_IndexModelSoftware">Vars!$E$64</definedName>
    <definedName name="RHIZO_IndexScanner">Vars!$E$4</definedName>
    <definedName name="RHIZO_IndexSoftware">Vars!$E$5</definedName>
    <definedName name="RHIZO_ManuelM1">Prod!$C$272</definedName>
    <definedName name="RHIZO_N_AlreadyHaveSoftware">Vars!$E$37</definedName>
    <definedName name="RHIZO_N_Software">Vars!$E$34</definedName>
    <definedName name="RHIZO_N_System">Vars!$E$36</definedName>
    <definedName name="RHIZO_N_UpgradeUpdate">Vars!$E$35</definedName>
    <definedName name="RHIZO_Option1">Vars!$E$13</definedName>
    <definedName name="RHIZO_Option10">Vars!$E$22</definedName>
    <definedName name="RHIZO_Option11">Vars!$E$23</definedName>
    <definedName name="RHIZO_Option12">Vars!$E$24</definedName>
    <definedName name="RHIZO_Option2">Vars!$E$14</definedName>
    <definedName name="RHIZO_Option3">Vars!$E$15</definedName>
    <definedName name="RHIZO_Option4">Vars!$E$16</definedName>
    <definedName name="RHIZO_Option5">Vars!$E$17</definedName>
    <definedName name="RHIZO_Option6">Vars!$E$18</definedName>
    <definedName name="RHIZO_Option7">Vars!$E$19</definedName>
    <definedName name="RHIZO_Option8">Vars!$E$20</definedName>
    <definedName name="RHIZO_Option9">Vars!$E$21</definedName>
    <definedName name="RHIZO_OptionXL">Vars!$E$6</definedName>
    <definedName name="RHIZO_PosiOrBlueBG_Checkbox">Vars!$E$33</definedName>
    <definedName name="RHIZO_Serial">Prod!$E$271&amp;IF(LEN(Prod!$E$278)&gt;0,", " &amp; Prod!$E$278,"")</definedName>
    <definedName name="RHIZO_SerialTPU">Prod!$J$271&amp;IF(LEN(Prod!$J$278)&gt;0,", " &amp; Prod!$J$278,"")</definedName>
    <definedName name="RHIZO_SoftwareFullNames">Vars!$E$38:$E$41</definedName>
    <definedName name="RHIZO_SoftwareList">Vars!$E$51:$E$54</definedName>
    <definedName name="RHIZO_SoftwarePriceList">Calc!$A$54:$A$57</definedName>
    <definedName name="RHIZO_UpgradeNModels">Vars!$E$28</definedName>
    <definedName name="RHIZO_YearClient">WinRHIZO!#REF!</definedName>
    <definedName name="RHIZO_YearMostRecent">Vars!$E$27</definedName>
    <definedName name="RHIZOTRON_ClientWithOrWithoutScanner">Vars!$F$31</definedName>
    <definedName name="RHIZOTRON_IndexClientVersion">Vars!$F$25</definedName>
    <definedName name="RHIZOTRON_IndexModelClient">Vars!$F$65</definedName>
    <definedName name="RHIZOTRON_IndexModelSoftware">Vars!$F$64</definedName>
    <definedName name="RHIZOTRON_IndexSoftware">Vars!$F$5</definedName>
    <definedName name="RHIZOTRON_N_AlreadyHaveSoftware">Vars!$F$37</definedName>
    <definedName name="RHIZOTRON_N_Software">Vars!$F$34</definedName>
    <definedName name="RHIZOTRON_N_System">Vars!$F$36</definedName>
    <definedName name="RHIZOTRON_N_UpgradeUpdate">Vars!$F$35</definedName>
    <definedName name="RHIZOTRON_OptionXL">Vars!$F$6</definedName>
    <definedName name="RHIZOTRON_SoftwareFullNames">Vars!$F$38:$F$40</definedName>
    <definedName name="RHIZOTRON_SoftwareList">Vars!$F$51:$F$53</definedName>
    <definedName name="RHIZOTRON_SoftwarePriceList">Calc!$A$58:$A$60</definedName>
    <definedName name="RHIZOTRON_UpgradeNModels">Vars!$F$28</definedName>
    <definedName name="RHIZOTRON_YearClient">WinRHIZOTron!#REF!</definedName>
    <definedName name="RHIZOTRON_YearMostRecent">Vars!$F$27</definedName>
    <definedName name="ScannerHCode">Vars!$C$103</definedName>
    <definedName name="SCANOPY_BigTripod">Vars!$J$16</definedName>
    <definedName name="SCANOPY_Camera">Vars!$J$15</definedName>
    <definedName name="SCANOPY_CameraModel">Vars!$C$120</definedName>
    <definedName name="SCANOPY_CameraModel_Mini">Vars!$C$119</definedName>
    <definedName name="SCANOPY_CaseAndMount">Vars!$J$14</definedName>
    <definedName name="SCANOPY_ClientWithOrWithoutScanner">Vars!$J$31</definedName>
    <definedName name="SCANOPY_IndexClientVersion">Vars!$J$25</definedName>
    <definedName name="SCANOPY_IndexModelClient">Vars!$J$65</definedName>
    <definedName name="SCANOPY_IndexModelSoftware">Vars!$J$64</definedName>
    <definedName name="SCANOPY_IndexScanner">Vars!$J$4</definedName>
    <definedName name="SCANOPY_IndexSoftware">Vars!$J$5</definedName>
    <definedName name="SCANOPY_ManuelM1">Prod!$J$381</definedName>
    <definedName name="SCANOPY_N_AlreadyHaveSoftware">Vars!$J$37</definedName>
    <definedName name="SCANOPY_N_Software">Vars!$J$34</definedName>
    <definedName name="SCANOPY_N_System">Vars!$J$36</definedName>
    <definedName name="SCANOPY_N_UpgradeUpdate">Vars!$J$35</definedName>
    <definedName name="SCANOPY_Option1">Vars!$J$13</definedName>
    <definedName name="SCANOPY_OptionXL">Vars!$J$6</definedName>
    <definedName name="SCANOPY_Serial">Prod!$E$381&amp;IF(LEN(Prod!$E$385)&gt;0,", " &amp; Prod!$E$385,"")</definedName>
    <definedName name="SCANOPY_SoftwareFullNames">Vars!$J$38:$J$40</definedName>
    <definedName name="SCANOPY_SoftwareList">Vars!$J$51:$J$53</definedName>
    <definedName name="SCANOPY_SoftwarePriceList">Calc!$A$70:$A$72</definedName>
    <definedName name="SCANOPY_UpgradeNModels">Vars!$J$28</definedName>
    <definedName name="SCANOPY_YearClient">WinSCANOPY!#REF!</definedName>
    <definedName name="SCANOPY_YearMostRecent">Vars!$J$27</definedName>
    <definedName name="SEEDLE_Access1">Prod!$C$422</definedName>
    <definedName name="SEEDLE_ClientWithOrWithoutScanner">Vars!$H$31</definedName>
    <definedName name="SEEDLE_ClientWithOrWithoutScanner_ChkBox">Vars!$H$32</definedName>
    <definedName name="SEEDLE_IndexClientVersion">Vars!$H$25</definedName>
    <definedName name="SEEDLE_IndexModelClient">Vars!$H$65</definedName>
    <definedName name="SEEDLE_IndexModelSoftware">Vars!$H$64</definedName>
    <definedName name="SEEDLE_IndexScanner">Vars!$H$4</definedName>
    <definedName name="SEEDLE_IndexSoftware">Vars!$H$5</definedName>
    <definedName name="SEEDLE_ManuelM1">Prod!$C$327</definedName>
    <definedName name="SEEDLE_N_AlreadyHaveSoftware">Vars!$H$37</definedName>
    <definedName name="SEEDLE_N_Software">Vars!$H$34</definedName>
    <definedName name="SEEDLE_N_System">Vars!$H$36</definedName>
    <definedName name="SEEDLE_N_UpgradeUpdate">Vars!$H$35</definedName>
    <definedName name="SEEDLE_Option1">Vars!$H$13</definedName>
    <definedName name="SEEDLE_Option10">Vars!$H$22</definedName>
    <definedName name="SEEDLE_Option11">Vars!$H$23</definedName>
    <definedName name="SEEDLE_Option12">Vars!$H$24</definedName>
    <definedName name="SEEDLE_Option2">Vars!$H$14</definedName>
    <definedName name="SEEDLE_Option3">Vars!$H$15</definedName>
    <definedName name="SEEDLE_Option4">Vars!$H$16</definedName>
    <definedName name="SEEDLE_Option5">Vars!$H$17</definedName>
    <definedName name="SEEDLE_Option6">Vars!$H$18</definedName>
    <definedName name="SEEDLE_Option7">Vars!$H$19</definedName>
    <definedName name="SEEDLE_Option8">Vars!$H$20</definedName>
    <definedName name="SEEDLE_Option9">Vars!$H$21</definedName>
    <definedName name="SEEDLE_OptionXL">Vars!$H$6</definedName>
    <definedName name="SEEDLE_PosiOrBlueBG_Checkbox">Vars!$H$33</definedName>
    <definedName name="SEEDLE_Serial">Prod!$E$326&amp;IF(LEN(Prod!$E$333)&gt;0,", " &amp; Prod!$E$333,"")</definedName>
    <definedName name="SEEDLE_SerialTPU">Prod!$J$326&amp;IF(LEN(Prod!$J$333)&gt;0,", " &amp; Prod!$J$333,"")</definedName>
    <definedName name="SEEDLE_SoftwareFullNames">Vars!$H$38:$H$40</definedName>
    <definedName name="SEEDLE_SoftwareList">Vars!$H$51:$H$53</definedName>
    <definedName name="SEEDLE_SoftwarePriceList">Calc!$A$64:$A$66</definedName>
    <definedName name="SEEDLE_UpgradeNModels">Vars!$H$28</definedName>
    <definedName name="SEEDLE_YearClient">WinSEEDLE!#REF!</definedName>
    <definedName name="SEEDLE_YearMostRecent">Vars!$H$27</definedName>
    <definedName name="SHIP_CostSoftware">Vars!$P$34</definedName>
    <definedName name="SHIP_CostTotal">Vars!$P$86</definedName>
    <definedName name="SHIP_Country_Abrev">Vars!$C$133</definedName>
    <definedName name="SHIP_Country_Index">Vars!$C$117</definedName>
    <definedName name="SHIP_CountryFiltered">OFFSET(Vars!$I$185:$I$390,0,0,SUM(Vars!$H$185:$H$390),1)</definedName>
    <definedName name="SHIP_CrossShipping">Vars!$C$134</definedName>
    <definedName name="SHIP_CurrencyTaux">Vars!$C$118</definedName>
    <definedName name="ShowStaticListPrice">Vars!$C$130</definedName>
    <definedName name="StaticPriceList_Headers" localSheetId="20">'Static $ NoSoft'!$A$1:$D$1</definedName>
    <definedName name="StaticPriceList_Headers">'Static $'!$A$1:$D$1</definedName>
    <definedName name="StaticPriceList_Names" localSheetId="20">'Static $ NoSoft'!$B$1:$B$145</definedName>
    <definedName name="StaticPriceList_Names">'Static $'!$B$1:$B$175</definedName>
    <definedName name="STD_GenCalib_Drivers_Instr_Techsup">Calc!$A$17</definedName>
    <definedName name="SUITE_IndexClientVersion">Vars!$K$25</definedName>
    <definedName name="SUITE_IndexModelClient">Vars!$K$30</definedName>
    <definedName name="SUITE_IndexModelSoftware">Vars!$K$29</definedName>
    <definedName name="SUITE_IndexScanner">Vars!$K$4</definedName>
    <definedName name="SUITE_IndexSoftware">Vars!$K$5</definedName>
    <definedName name="SUITE_N_AlreadyHaveSoftware">Vars!$K$37</definedName>
    <definedName name="SUITE_N_Software">Vars!$K$34</definedName>
    <definedName name="SUITE_N_System">Vars!$K$36</definedName>
    <definedName name="SUITE_N_UpgradeUpdate">Vars!$K$35</definedName>
    <definedName name="SUITE_Option1">Vars!$K$13</definedName>
    <definedName name="SUITE_Option10">Vars!$K$22</definedName>
    <definedName name="SUITE_Option11">Vars!$K$23</definedName>
    <definedName name="SUITE_Option12">Vars!$K$24</definedName>
    <definedName name="SUITE_Option2">Vars!$K$14</definedName>
    <definedName name="SUITE_Option3">Vars!$K$15</definedName>
    <definedName name="SUITE_Option4">Vars!$K$16</definedName>
    <definedName name="SUITE_Option5">Vars!$K$17</definedName>
    <definedName name="SUITE_Option6">Vars!$K$18</definedName>
    <definedName name="SUITE_Option7">Vars!$K$19</definedName>
    <definedName name="SUITE_Option8">Vars!$K$20</definedName>
    <definedName name="SUITE_Option9">Vars!$K$21</definedName>
    <definedName name="SUITE_OptionUpgrade">Vars!$K$12</definedName>
    <definedName name="SUITE_OptionXL">Vars!$K$6</definedName>
    <definedName name="SUITE_SoftwareFullNames">Vars!$K$38:$K$49</definedName>
    <definedName name="SUITE_SoftwareList">Vars!$K$51:$K$62</definedName>
    <definedName name="SUITE_SoftwarePriceList">Calc!#REF!</definedName>
    <definedName name="SUITE_UpgradeNModels">Vars!$K$28</definedName>
    <definedName name="SUITE_YearClient">Vars!$K$26</definedName>
    <definedName name="SUITE_YearMostRecent">Vars!$K$27</definedName>
    <definedName name="SuiteIsAgro" comment="Formule True is la suite choisie est Agro">IF(OR(SUITE_IndexSoftware=5,SUITE_IndexSoftware=6,SUITE_IndexSoftware=11,SUITE_IndexSoftware=12),1,0)</definedName>
    <definedName name="SuiteIsSilva">IF(OR(SUITE_IndexSoftware=1,SUITE_IndexSoftware=2,SUITE_IndexSoftware=7,SUITE_IndexSoftware=8),1,0)</definedName>
    <definedName name="SuperUser">Vars!$C$129</definedName>
    <definedName name="TauxEuro">Calc!#REF!</definedName>
    <definedName name="TauxUS">Calc!#REF!</definedName>
    <definedName name="TextTrayWarranty">Vars!$C$101</definedName>
    <definedName name="TotalPackages">Vars!$M$86</definedName>
    <definedName name="TotalWeight">Vars!$L$86</definedName>
    <definedName name="Tray1To3">Vars!$B$144:$B$147</definedName>
    <definedName name="Tray1To4">Vars!$B$144:$B$148</definedName>
    <definedName name="Tray4to10">Vars!$C$144:$C$150</definedName>
    <definedName name="UpdateMinPrice">Vars!$C$169</definedName>
    <definedName name="UpdateNAnnesMax">Vars!$C$167</definedName>
    <definedName name="UpdateResidualValueAfterAnneesMax">Vars!$C$168</definedName>
    <definedName name="VARS_Home_En">Vars!$C$175</definedName>
    <definedName name="VARS_Home_Fr">Vars!$C$176</definedName>
    <definedName name="VARS_Home_PasSameClient_En">Vars!$C$177</definedName>
    <definedName name="VARS_Home_PasSameClient_Fr">Vars!$C$178</definedName>
    <definedName name="VARS_Range_ChkBoxInternetDownload">Vars!$K$173</definedName>
    <definedName name="VARS_RowNumSelectedCountry">Vars!$J$185</definedName>
    <definedName name="WeightUSBKey">Vars!$C$104</definedName>
    <definedName name="YearOfList">Vars!$C$116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 i="38" l="1"/>
  <c r="C1" i="37"/>
  <c r="Q2" i="33"/>
  <c r="P2" i="26"/>
  <c r="M157" i="27"/>
  <c r="I157" i="27"/>
  <c r="I155" i="27"/>
  <c r="D156" i="27"/>
  <c r="D157" i="27" s="1"/>
  <c r="C156" i="27"/>
  <c r="L156" i="27"/>
  <c r="G156" i="27" l="1"/>
  <c r="I156" i="27" l="1"/>
  <c r="J156" i="27"/>
  <c r="D94" i="33" l="1"/>
  <c r="D89" i="33"/>
  <c r="D89" i="26"/>
  <c r="D83" i="33"/>
  <c r="D83" i="26"/>
  <c r="D94" i="26"/>
  <c r="B76" i="33"/>
  <c r="B76" i="26"/>
  <c r="K5" i="33"/>
  <c r="J5" i="26"/>
  <c r="L157" i="27"/>
  <c r="K157" i="27"/>
  <c r="J157" i="27"/>
  <c r="C157" i="27"/>
  <c r="I144" i="27"/>
  <c r="I133" i="27"/>
  <c r="I123" i="27"/>
  <c r="I114" i="27"/>
  <c r="I96" i="27"/>
  <c r="I87" i="27"/>
  <c r="I77" i="27"/>
  <c r="I68" i="27"/>
  <c r="I63" i="27"/>
  <c r="I59" i="27"/>
  <c r="I42" i="27"/>
  <c r="I33" i="27"/>
  <c r="I28" i="27"/>
  <c r="I24" i="27"/>
  <c r="I14" i="27"/>
  <c r="I6" i="27"/>
  <c r="J246" i="35"/>
  <c r="J243" i="35"/>
  <c r="J240" i="35"/>
  <c r="J237" i="35"/>
  <c r="J234" i="35"/>
  <c r="J231" i="35"/>
  <c r="J216" i="35"/>
  <c r="J213" i="35"/>
  <c r="J210" i="35"/>
  <c r="J207" i="35"/>
  <c r="J204" i="35"/>
  <c r="J201" i="35"/>
  <c r="J186" i="35"/>
  <c r="J183" i="35"/>
  <c r="J180" i="35"/>
  <c r="J177" i="35"/>
  <c r="J174" i="35"/>
  <c r="J171" i="35"/>
  <c r="J156" i="35"/>
  <c r="J153" i="35"/>
  <c r="J150" i="35"/>
  <c r="J147" i="35"/>
  <c r="J144" i="35"/>
  <c r="J141" i="35"/>
  <c r="J126" i="35"/>
  <c r="J123" i="35"/>
  <c r="J120" i="35"/>
  <c r="J117" i="35"/>
  <c r="J114" i="35"/>
  <c r="J111" i="35"/>
  <c r="J189" i="35"/>
  <c r="J36" i="35" l="1"/>
  <c r="J33" i="35"/>
  <c r="J30" i="35"/>
  <c r="J27" i="35"/>
  <c r="J24" i="35"/>
  <c r="J21" i="35"/>
  <c r="J54" i="35"/>
  <c r="K7" i="33" l="1"/>
  <c r="J7" i="26"/>
  <c r="D110" i="33"/>
  <c r="D110" i="26"/>
  <c r="K173" i="14"/>
  <c r="C132" i="27"/>
  <c r="C113" i="27"/>
  <c r="C86" i="27"/>
  <c r="C67" i="27"/>
  <c r="C32" i="27"/>
  <c r="C5" i="27"/>
  <c r="I28" i="43"/>
  <c r="I26" i="43"/>
  <c r="I27" i="43" s="1"/>
  <c r="I25" i="43"/>
  <c r="G28" i="43"/>
  <c r="E28" i="43"/>
  <c r="D28" i="43"/>
  <c r="G26" i="43"/>
  <c r="G27" i="43" s="1"/>
  <c r="F26" i="43"/>
  <c r="F27" i="43" s="1"/>
  <c r="E26" i="43"/>
  <c r="E27" i="43" s="1"/>
  <c r="D26" i="43"/>
  <c r="D27" i="43" s="1"/>
  <c r="V28" i="43"/>
  <c r="W26" i="43"/>
  <c r="W27" i="43" s="1"/>
  <c r="V26" i="43"/>
  <c r="V27" i="43" s="1"/>
  <c r="V25" i="43"/>
  <c r="T28" i="43"/>
  <c r="S28" i="43"/>
  <c r="R28" i="43"/>
  <c r="P28" i="43"/>
  <c r="T26" i="43"/>
  <c r="T27" i="43" s="1"/>
  <c r="S26" i="43"/>
  <c r="S27" i="43" s="1"/>
  <c r="R26" i="43"/>
  <c r="R27" i="43" s="1"/>
  <c r="Q26" i="43"/>
  <c r="Q27" i="43" s="1"/>
  <c r="P26" i="43"/>
  <c r="P27" i="43" s="1"/>
  <c r="O26" i="43"/>
  <c r="O27" i="43" s="1"/>
  <c r="T25" i="43"/>
  <c r="S25" i="43"/>
  <c r="R25" i="43"/>
  <c r="P25" i="43"/>
  <c r="M28" i="43"/>
  <c r="M26" i="43"/>
  <c r="M27" i="43" s="1"/>
  <c r="M25" i="43"/>
  <c r="G25" i="43"/>
  <c r="E25" i="43"/>
  <c r="D25" i="43"/>
  <c r="M23" i="43"/>
  <c r="M22" i="43"/>
  <c r="M21" i="43"/>
  <c r="M20" i="43"/>
  <c r="I23" i="43"/>
  <c r="I22" i="43"/>
  <c r="I21" i="43"/>
  <c r="I20" i="43"/>
  <c r="V23" i="43"/>
  <c r="V22" i="43"/>
  <c r="V21" i="43"/>
  <c r="V20" i="43"/>
  <c r="T23" i="43"/>
  <c r="S23" i="43"/>
  <c r="R23" i="43"/>
  <c r="P23" i="43"/>
  <c r="T22" i="43"/>
  <c r="S22" i="43"/>
  <c r="R22" i="43"/>
  <c r="P22" i="43"/>
  <c r="T21" i="43"/>
  <c r="S21" i="43"/>
  <c r="R21" i="43"/>
  <c r="P21" i="43"/>
  <c r="T20" i="43"/>
  <c r="S20" i="43"/>
  <c r="R20" i="43"/>
  <c r="P20" i="43"/>
  <c r="G23" i="43"/>
  <c r="E23" i="43"/>
  <c r="D23" i="43"/>
  <c r="G22" i="43"/>
  <c r="E22" i="43"/>
  <c r="D22" i="43"/>
  <c r="G21" i="43"/>
  <c r="E21" i="43"/>
  <c r="D21" i="43"/>
  <c r="G20" i="43"/>
  <c r="E20" i="43"/>
  <c r="D20" i="43"/>
  <c r="V18" i="43"/>
  <c r="T18" i="43"/>
  <c r="S18" i="43"/>
  <c r="R18" i="43"/>
  <c r="P18" i="43"/>
  <c r="M18" i="43"/>
  <c r="I18" i="43"/>
  <c r="G18" i="43"/>
  <c r="E18" i="43"/>
  <c r="D18" i="43"/>
  <c r="M16" i="43"/>
  <c r="M15" i="43"/>
  <c r="I16" i="43"/>
  <c r="I15" i="43"/>
  <c r="V16" i="43"/>
  <c r="V15" i="43"/>
  <c r="T16" i="43"/>
  <c r="S16" i="43"/>
  <c r="R16" i="43"/>
  <c r="P16" i="43"/>
  <c r="T15" i="43"/>
  <c r="S15" i="43"/>
  <c r="R15" i="43"/>
  <c r="P15" i="43"/>
  <c r="G16" i="43"/>
  <c r="E16" i="43"/>
  <c r="D16" i="43"/>
  <c r="G15" i="43"/>
  <c r="E15" i="43"/>
  <c r="D15" i="43"/>
  <c r="V11" i="43"/>
  <c r="T11" i="43"/>
  <c r="S11" i="43"/>
  <c r="R11" i="43"/>
  <c r="P11" i="43"/>
  <c r="M11" i="43"/>
  <c r="I11" i="43"/>
  <c r="G11" i="43"/>
  <c r="E11" i="43"/>
  <c r="D11" i="43"/>
  <c r="I41" i="27"/>
  <c r="I32" i="27" s="1"/>
  <c r="I13" i="27"/>
  <c r="I5" i="27" s="1"/>
  <c r="G22" i="1" l="1"/>
  <c r="G23" i="22"/>
  <c r="G23" i="20"/>
  <c r="G23" i="21"/>
  <c r="G13" i="5"/>
  <c r="G14" i="23"/>
  <c r="H3" i="23"/>
  <c r="H3" i="18"/>
  <c r="H3" i="1"/>
  <c r="H3" i="22"/>
  <c r="H3" i="20"/>
  <c r="H3" i="21"/>
  <c r="H3" i="19"/>
  <c r="H3" i="5"/>
  <c r="G3" i="23"/>
  <c r="G3" i="18"/>
  <c r="G3" i="1"/>
  <c r="G3" i="22"/>
  <c r="G3" i="20"/>
  <c r="G3" i="21"/>
  <c r="G3" i="19"/>
  <c r="G23" i="5"/>
  <c r="G3" i="5"/>
  <c r="I3" i="23"/>
  <c r="I3" i="18"/>
  <c r="I3" i="1"/>
  <c r="I3" i="22"/>
  <c r="I3" i="20"/>
  <c r="I3" i="21"/>
  <c r="I3" i="19"/>
  <c r="I3" i="5"/>
  <c r="B20" i="28"/>
  <c r="A20" i="28"/>
  <c r="A7" i="28"/>
  <c r="D85" i="33" l="1"/>
  <c r="D85" i="26"/>
  <c r="L106" i="33"/>
  <c r="D106" i="33"/>
  <c r="D106" i="26"/>
  <c r="D102" i="33"/>
  <c r="D102" i="26"/>
  <c r="D100" i="33"/>
  <c r="D98" i="33"/>
  <c r="D88" i="33"/>
  <c r="D81" i="33"/>
  <c r="C80" i="33"/>
  <c r="D98" i="26"/>
  <c r="I142" i="27"/>
  <c r="L106" i="26"/>
  <c r="D25" i="23"/>
  <c r="D24" i="23"/>
  <c r="C24" i="23"/>
  <c r="D22" i="23"/>
  <c r="C22" i="23"/>
  <c r="J142" i="27"/>
  <c r="I139" i="27" l="1"/>
  <c r="I140" i="27"/>
  <c r="D100" i="26"/>
  <c r="D88" i="26"/>
  <c r="D81" i="26"/>
  <c r="C80" i="26"/>
  <c r="C101" i="14"/>
  <c r="C117" i="14"/>
  <c r="H74" i="26"/>
  <c r="I74" i="33"/>
  <c r="L14" i="28"/>
  <c r="C134" i="14" s="1"/>
  <c r="H16" i="26" l="1"/>
  <c r="J82" i="14"/>
  <c r="M82" i="14" s="1"/>
  <c r="O82" i="14" s="1"/>
  <c r="N82" i="14" l="1"/>
  <c r="D17" i="23"/>
  <c r="D23" i="23" l="1"/>
  <c r="C130" i="27"/>
  <c r="C142" i="27" s="1"/>
  <c r="D17" i="1"/>
  <c r="D17" i="22"/>
  <c r="D17" i="20"/>
  <c r="D17" i="21"/>
  <c r="D17" i="5"/>
  <c r="Q2" i="34" l="1"/>
  <c r="R15" i="28"/>
  <c r="R14" i="28"/>
  <c r="R9" i="28"/>
  <c r="L10" i="28"/>
  <c r="L11" i="28"/>
  <c r="L12" i="28"/>
  <c r="L13" i="28"/>
  <c r="L15" i="28"/>
  <c r="L16" i="28"/>
  <c r="P9" i="28"/>
  <c r="L9" i="28"/>
  <c r="C125" i="38" l="1"/>
  <c r="C147" i="37"/>
  <c r="K142" i="27"/>
  <c r="M142" i="27" s="1"/>
  <c r="L247" i="35"/>
  <c r="L244" i="35"/>
  <c r="L241" i="35"/>
  <c r="L238" i="35"/>
  <c r="L235" i="35"/>
  <c r="L232" i="35"/>
  <c r="L217" i="35"/>
  <c r="L214" i="35"/>
  <c r="L211" i="35"/>
  <c r="L208" i="35"/>
  <c r="L205" i="35"/>
  <c r="L202" i="35"/>
  <c r="L157" i="35"/>
  <c r="L154" i="35"/>
  <c r="L151" i="35"/>
  <c r="L148" i="35"/>
  <c r="L145" i="35"/>
  <c r="L142" i="35"/>
  <c r="L127" i="35"/>
  <c r="L124" i="35"/>
  <c r="L121" i="35"/>
  <c r="L118" i="35"/>
  <c r="L115" i="35"/>
  <c r="L112" i="35"/>
  <c r="J66" i="35"/>
  <c r="L67" i="35" s="1"/>
  <c r="J63" i="35"/>
  <c r="L64" i="35" s="1"/>
  <c r="J60" i="35"/>
  <c r="L61" i="35" s="1"/>
  <c r="J57" i="35"/>
  <c r="L58" i="35" s="1"/>
  <c r="L55" i="35"/>
  <c r="L37" i="35"/>
  <c r="L34" i="35"/>
  <c r="L31" i="35"/>
  <c r="L28" i="35"/>
  <c r="L25" i="35"/>
  <c r="N62" i="41"/>
  <c r="N62" i="33"/>
  <c r="M62" i="26"/>
  <c r="G247" i="35"/>
  <c r="G244" i="35"/>
  <c r="G241" i="35"/>
  <c r="G238" i="35"/>
  <c r="G235" i="35"/>
  <c r="G232" i="35"/>
  <c r="G229" i="35"/>
  <c r="G226" i="35"/>
  <c r="G223" i="35"/>
  <c r="G220" i="35"/>
  <c r="G217" i="35"/>
  <c r="G214" i="35"/>
  <c r="G211" i="35"/>
  <c r="G208" i="35"/>
  <c r="G205" i="35"/>
  <c r="G202" i="35"/>
  <c r="G199" i="35"/>
  <c r="G196" i="35"/>
  <c r="G193" i="35"/>
  <c r="G190" i="35"/>
  <c r="G187" i="35"/>
  <c r="G184" i="35"/>
  <c r="G181" i="35"/>
  <c r="G178" i="35"/>
  <c r="G175" i="35"/>
  <c r="G172" i="35"/>
  <c r="G169" i="35"/>
  <c r="G166" i="35"/>
  <c r="G163" i="35"/>
  <c r="G160" i="35"/>
  <c r="G157" i="35"/>
  <c r="G154" i="35"/>
  <c r="G151" i="35"/>
  <c r="G148" i="35"/>
  <c r="G145" i="35"/>
  <c r="G142" i="35"/>
  <c r="G139" i="35"/>
  <c r="G136" i="35"/>
  <c r="G133" i="35"/>
  <c r="G130" i="35"/>
  <c r="G127" i="35"/>
  <c r="G124" i="35"/>
  <c r="G121" i="35"/>
  <c r="G118" i="35"/>
  <c r="G115" i="35"/>
  <c r="G112" i="35"/>
  <c r="G109" i="35"/>
  <c r="G106" i="35"/>
  <c r="G103" i="35"/>
  <c r="G100" i="35"/>
  <c r="G97" i="35"/>
  <c r="G94" i="35"/>
  <c r="G91" i="35"/>
  <c r="G88" i="35"/>
  <c r="G85" i="35"/>
  <c r="G82" i="35"/>
  <c r="G79" i="35"/>
  <c r="G76" i="35"/>
  <c r="G73" i="35"/>
  <c r="G70" i="35"/>
  <c r="G67" i="35"/>
  <c r="G64" i="35"/>
  <c r="G61" i="35"/>
  <c r="G58" i="35"/>
  <c r="G55" i="35"/>
  <c r="G52" i="35"/>
  <c r="G49" i="35"/>
  <c r="G46" i="35"/>
  <c r="G43" i="35"/>
  <c r="G40" i="35"/>
  <c r="G37" i="35"/>
  <c r="G34" i="35"/>
  <c r="G31" i="35"/>
  <c r="G28" i="35"/>
  <c r="G25" i="35"/>
  <c r="G22" i="35"/>
  <c r="G19" i="35"/>
  <c r="G16" i="35"/>
  <c r="G13" i="35"/>
  <c r="D248" i="35"/>
  <c r="D245" i="35"/>
  <c r="D242" i="35"/>
  <c r="D239" i="35"/>
  <c r="D236" i="35"/>
  <c r="D233" i="35"/>
  <c r="D230" i="35"/>
  <c r="D227" i="35"/>
  <c r="D224" i="35"/>
  <c r="D221" i="35"/>
  <c r="D218" i="35"/>
  <c r="D215" i="35"/>
  <c r="D212" i="35"/>
  <c r="D209" i="35"/>
  <c r="D206" i="35"/>
  <c r="D203" i="35"/>
  <c r="D200" i="35"/>
  <c r="D197" i="35"/>
  <c r="D194" i="35"/>
  <c r="D191" i="35"/>
  <c r="D188" i="35"/>
  <c r="D185" i="35"/>
  <c r="D182" i="35"/>
  <c r="D179" i="35"/>
  <c r="D176" i="35"/>
  <c r="D173" i="35"/>
  <c r="D170" i="35"/>
  <c r="D167" i="35"/>
  <c r="D164" i="35"/>
  <c r="D161" i="35"/>
  <c r="D158"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D80" i="35"/>
  <c r="D77" i="35"/>
  <c r="D74" i="35"/>
  <c r="D71" i="35"/>
  <c r="D68" i="35"/>
  <c r="D65" i="35"/>
  <c r="D62" i="35"/>
  <c r="D59" i="35"/>
  <c r="D56" i="35"/>
  <c r="D53" i="35"/>
  <c r="D50" i="35"/>
  <c r="D47" i="35"/>
  <c r="D44" i="35"/>
  <c r="D41" i="35"/>
  <c r="D38" i="35"/>
  <c r="D35" i="35"/>
  <c r="D32" i="35"/>
  <c r="D29" i="35"/>
  <c r="D26" i="35"/>
  <c r="D23" i="35"/>
  <c r="D20" i="35"/>
  <c r="D17" i="35"/>
  <c r="D14" i="35"/>
  <c r="G10" i="35"/>
  <c r="D11" i="35"/>
  <c r="B53" i="41"/>
  <c r="B52" i="41"/>
  <c r="B51" i="41"/>
  <c r="B50" i="41"/>
  <c r="B49" i="41"/>
  <c r="B48" i="41"/>
  <c r="B47" i="41"/>
  <c r="B46" i="41"/>
  <c r="B45" i="41"/>
  <c r="B44" i="41"/>
  <c r="B43" i="41"/>
  <c r="B42" i="41"/>
  <c r="B41" i="41"/>
  <c r="B40" i="41"/>
  <c r="B39" i="41"/>
  <c r="B38" i="41"/>
  <c r="B37" i="41"/>
  <c r="B36" i="41"/>
  <c r="B35" i="41"/>
  <c r="B34" i="41"/>
  <c r="B33" i="41"/>
  <c r="B32" i="41"/>
  <c r="M247" i="35"/>
  <c r="M244" i="35"/>
  <c r="M241" i="35"/>
  <c r="M238" i="35"/>
  <c r="M235" i="35"/>
  <c r="M232" i="35"/>
  <c r="M229" i="35"/>
  <c r="M226" i="35"/>
  <c r="M223" i="35"/>
  <c r="M220" i="35"/>
  <c r="M217" i="35"/>
  <c r="M214" i="35"/>
  <c r="M211" i="35"/>
  <c r="M208" i="35"/>
  <c r="M205" i="35"/>
  <c r="M202" i="35"/>
  <c r="M199" i="35"/>
  <c r="M196" i="35"/>
  <c r="M193" i="35"/>
  <c r="M190" i="35"/>
  <c r="M187" i="35"/>
  <c r="M184" i="35"/>
  <c r="M181" i="35"/>
  <c r="M178" i="35"/>
  <c r="M175" i="35"/>
  <c r="M172" i="35"/>
  <c r="M169" i="35"/>
  <c r="M166" i="35"/>
  <c r="M163" i="35"/>
  <c r="M160" i="35"/>
  <c r="M157" i="35"/>
  <c r="M154" i="35"/>
  <c r="M151" i="35"/>
  <c r="M148" i="35"/>
  <c r="M145" i="35"/>
  <c r="M142" i="35"/>
  <c r="M139" i="35"/>
  <c r="M136" i="35"/>
  <c r="M133" i="35"/>
  <c r="M130" i="35"/>
  <c r="M127" i="35"/>
  <c r="M124" i="35"/>
  <c r="M121" i="35"/>
  <c r="M118" i="35"/>
  <c r="M115" i="35"/>
  <c r="M112" i="35"/>
  <c r="M109" i="35"/>
  <c r="M106" i="35"/>
  <c r="M103" i="35"/>
  <c r="M100" i="35"/>
  <c r="M97" i="35"/>
  <c r="M94" i="35"/>
  <c r="M91" i="35"/>
  <c r="M88" i="35"/>
  <c r="M85" i="35"/>
  <c r="M82" i="35"/>
  <c r="M79" i="35"/>
  <c r="M76" i="35"/>
  <c r="M73" i="35"/>
  <c r="M70" i="35"/>
  <c r="M67" i="35"/>
  <c r="M64" i="35"/>
  <c r="M61" i="35"/>
  <c r="M58" i="35"/>
  <c r="M55" i="35"/>
  <c r="M52" i="35"/>
  <c r="M49" i="35"/>
  <c r="M46" i="35"/>
  <c r="M43" i="35"/>
  <c r="M40" i="35"/>
  <c r="M37" i="35"/>
  <c r="M34" i="35"/>
  <c r="M31" i="35"/>
  <c r="M28" i="35"/>
  <c r="M25" i="35"/>
  <c r="M22" i="35"/>
  <c r="M19" i="35"/>
  <c r="M16" i="35"/>
  <c r="M13" i="35"/>
  <c r="M10" i="35"/>
  <c r="U60" i="41" l="1"/>
  <c r="B60" i="41"/>
  <c r="C21" i="20" l="1"/>
  <c r="O25" i="35"/>
  <c r="K276" i="35"/>
  <c r="K283" i="35"/>
  <c r="K290" i="35"/>
  <c r="K297" i="35"/>
  <c r="K304" i="35"/>
  <c r="K359" i="35"/>
  <c r="K352" i="35"/>
  <c r="K345" i="35"/>
  <c r="K338" i="35"/>
  <c r="K331" i="35"/>
  <c r="I434" i="35"/>
  <c r="I359" i="35"/>
  <c r="I352" i="35"/>
  <c r="I345" i="35"/>
  <c r="I338" i="35"/>
  <c r="I331" i="35"/>
  <c r="I304" i="35"/>
  <c r="I297" i="35"/>
  <c r="I290" i="35"/>
  <c r="I283" i="35"/>
  <c r="I276" i="35"/>
  <c r="P4" i="26"/>
  <c r="Q4" i="33"/>
  <c r="I358" i="35"/>
  <c r="I351" i="35"/>
  <c r="I344" i="35"/>
  <c r="I337" i="35"/>
  <c r="I330" i="35"/>
  <c r="I303" i="35"/>
  <c r="I296" i="35"/>
  <c r="I289" i="35"/>
  <c r="I282" i="35"/>
  <c r="I275" i="35"/>
  <c r="I378" i="35" l="1"/>
  <c r="I374" i="35"/>
  <c r="I370" i="35"/>
  <c r="I366" i="35"/>
  <c r="I362" i="35"/>
  <c r="C359" i="35"/>
  <c r="C358" i="35"/>
  <c r="C352" i="35"/>
  <c r="C351" i="35"/>
  <c r="C345" i="35"/>
  <c r="C344" i="35"/>
  <c r="C338" i="35"/>
  <c r="C337" i="35"/>
  <c r="K358" i="35"/>
  <c r="I355" i="35"/>
  <c r="K351" i="35"/>
  <c r="I348" i="35"/>
  <c r="K344" i="35"/>
  <c r="I341" i="35"/>
  <c r="K337" i="35"/>
  <c r="I334" i="35"/>
  <c r="I327" i="35"/>
  <c r="I300" i="35"/>
  <c r="I293" i="35"/>
  <c r="I286" i="35"/>
  <c r="I279" i="35"/>
  <c r="I323" i="35"/>
  <c r="I319" i="35"/>
  <c r="I315" i="35"/>
  <c r="I311" i="35"/>
  <c r="I307" i="35"/>
  <c r="I268" i="35"/>
  <c r="I264" i="35"/>
  <c r="I260" i="35"/>
  <c r="I256" i="35"/>
  <c r="I252" i="35"/>
  <c r="I272" i="35"/>
  <c r="K330" i="35"/>
  <c r="C331" i="35"/>
  <c r="C330" i="35"/>
  <c r="C304" i="35"/>
  <c r="K303" i="35"/>
  <c r="C303" i="35"/>
  <c r="C297" i="35"/>
  <c r="K296" i="35"/>
  <c r="C296" i="35"/>
  <c r="C290" i="35"/>
  <c r="K289" i="35"/>
  <c r="C289" i="35"/>
  <c r="C283" i="35"/>
  <c r="K282" i="35"/>
  <c r="C282" i="35"/>
  <c r="C276" i="35"/>
  <c r="C275" i="35"/>
  <c r="K275" i="35"/>
  <c r="N185" i="14" l="1"/>
  <c r="M1" i="26"/>
  <c r="H9" i="26"/>
  <c r="P6" i="26" l="1"/>
  <c r="M6" i="33"/>
  <c r="M5" i="33"/>
  <c r="M4" i="33"/>
  <c r="AF4" i="33" s="1"/>
  <c r="J247" i="35"/>
  <c r="J244" i="35"/>
  <c r="J241" i="35"/>
  <c r="J238" i="35"/>
  <c r="J235" i="35"/>
  <c r="J232" i="35"/>
  <c r="J229" i="35"/>
  <c r="J226" i="35"/>
  <c r="J223" i="35"/>
  <c r="J127" i="35"/>
  <c r="J124" i="35"/>
  <c r="J121" i="35"/>
  <c r="J118" i="35"/>
  <c r="J115" i="35"/>
  <c r="J112" i="35"/>
  <c r="J109" i="35"/>
  <c r="J106" i="35"/>
  <c r="J103" i="35"/>
  <c r="J100" i="35"/>
  <c r="J67" i="35"/>
  <c r="J64" i="35"/>
  <c r="J61" i="35"/>
  <c r="J58" i="35"/>
  <c r="J55" i="35"/>
  <c r="J52" i="35"/>
  <c r="J49" i="35"/>
  <c r="J46" i="35"/>
  <c r="J43" i="35"/>
  <c r="J40" i="35"/>
  <c r="J220" i="35"/>
  <c r="Q6" i="33" l="1"/>
  <c r="E3" i="35"/>
  <c r="M37" i="14"/>
  <c r="M36" i="14"/>
  <c r="I147" i="27" l="1"/>
  <c r="AI57" i="41"/>
  <c r="P57" i="41"/>
  <c r="AI57" i="33"/>
  <c r="AG57" i="26"/>
  <c r="J147" i="27"/>
  <c r="M56" i="27"/>
  <c r="K7" i="41" l="1"/>
  <c r="K6" i="41"/>
  <c r="I7" i="41"/>
  <c r="I6" i="41"/>
  <c r="I5" i="41"/>
  <c r="I7" i="33"/>
  <c r="C10" i="35"/>
  <c r="H7" i="26"/>
  <c r="K139" i="27"/>
  <c r="I138" i="27"/>
  <c r="D16" i="23"/>
  <c r="D21" i="23"/>
  <c r="B15" i="41" l="1"/>
  <c r="B15" i="34"/>
  <c r="B15" i="26"/>
  <c r="T15" i="26" s="1"/>
  <c r="B15" i="33"/>
  <c r="I137" i="27" l="1"/>
  <c r="C145" i="27"/>
  <c r="J145" i="27"/>
  <c r="B145" i="27"/>
  <c r="I145" i="27" s="1"/>
  <c r="J141" i="27" l="1"/>
  <c r="C124" i="27"/>
  <c r="C97" i="27"/>
  <c r="C78" i="27"/>
  <c r="C43" i="27"/>
  <c r="C15" i="27"/>
  <c r="B124" i="27"/>
  <c r="I124" i="27" s="1"/>
  <c r="K138" i="27" l="1"/>
  <c r="B15" i="27"/>
  <c r="I15" i="27" s="1"/>
  <c r="B97" i="27"/>
  <c r="I97" i="27" s="1"/>
  <c r="B78" i="27"/>
  <c r="I78" i="27" s="1"/>
  <c r="B43" i="27"/>
  <c r="I43" i="27" s="1"/>
  <c r="P33" i="14"/>
  <c r="O33" i="14"/>
  <c r="P65" i="14"/>
  <c r="O65" i="14"/>
  <c r="N407" i="27"/>
  <c r="N406" i="27"/>
  <c r="N405" i="27"/>
  <c r="N404" i="27"/>
  <c r="N403" i="27"/>
  <c r="N402" i="27"/>
  <c r="N401" i="27"/>
  <c r="N400" i="27"/>
  <c r="U407" i="27"/>
  <c r="U406" i="27"/>
  <c r="U405" i="27"/>
  <c r="U404" i="27"/>
  <c r="U403" i="27"/>
  <c r="U402" i="27"/>
  <c r="U401" i="27"/>
  <c r="U400" i="27"/>
  <c r="Q1" i="41"/>
  <c r="AC4" i="41"/>
  <c r="AC3" i="41"/>
  <c r="J4" i="41"/>
  <c r="J3" i="41"/>
  <c r="C358" i="14" l="1"/>
  <c r="C317" i="14"/>
  <c r="C246" i="14"/>
  <c r="C233" i="14"/>
  <c r="C353" i="14"/>
  <c r="C328" i="14"/>
  <c r="C270" i="14"/>
  <c r="C253" i="14"/>
  <c r="C373" i="14"/>
  <c r="C312" i="14"/>
  <c r="C247" i="14"/>
  <c r="C201" i="14"/>
  <c r="C268" i="14"/>
  <c r="J185" i="14" a="1"/>
  <c r="J185" i="14" s="1"/>
  <c r="I185" i="14" s="1"/>
  <c r="J186" i="14" s="1" a="1"/>
  <c r="J186" i="14" s="1"/>
  <c r="H387" i="14"/>
  <c r="H388" i="14"/>
  <c r="H389" i="14"/>
  <c r="H390" i="14"/>
  <c r="AJ33" i="43"/>
  <c r="AG33" i="43"/>
  <c r="AE33" i="43"/>
  <c r="F8" i="43"/>
  <c r="X7" i="43"/>
  <c r="X13" i="43" s="1"/>
  <c r="W7" i="43"/>
  <c r="W13" i="43" s="1"/>
  <c r="V7" i="43"/>
  <c r="V13" i="43" s="1"/>
  <c r="T7" i="43"/>
  <c r="T13" i="43" s="1"/>
  <c r="S7" i="43"/>
  <c r="S13" i="43" s="1"/>
  <c r="R7" i="43"/>
  <c r="R13" i="43" s="1"/>
  <c r="Q7" i="43"/>
  <c r="Q13" i="43" s="1"/>
  <c r="P7" i="43"/>
  <c r="P13" i="43" s="1"/>
  <c r="O7" i="43"/>
  <c r="O13" i="43" s="1"/>
  <c r="M7" i="43"/>
  <c r="M13" i="43" s="1"/>
  <c r="L7" i="43"/>
  <c r="K7" i="43"/>
  <c r="J7" i="43"/>
  <c r="I7" i="43"/>
  <c r="I13" i="43" s="1"/>
  <c r="G7" i="43"/>
  <c r="G13" i="43" s="1"/>
  <c r="F7" i="43"/>
  <c r="F13" i="43" s="1"/>
  <c r="E7" i="43"/>
  <c r="E13" i="43" s="1"/>
  <c r="D7" i="43"/>
  <c r="D13" i="43" s="1"/>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185" i="14"/>
  <c r="O57" i="26"/>
  <c r="B30" i="28"/>
  <c r="I158" i="27"/>
  <c r="F28" i="43" l="1"/>
  <c r="F22" i="43"/>
  <c r="F16" i="43"/>
  <c r="F20" i="43"/>
  <c r="F25" i="43"/>
  <c r="F15" i="43"/>
  <c r="F23" i="43"/>
  <c r="F18" i="43"/>
  <c r="F21" i="43"/>
  <c r="F11" i="43"/>
  <c r="C133" i="14"/>
  <c r="B66" i="41" s="1"/>
  <c r="X8" i="43"/>
  <c r="I186" i="14"/>
  <c r="W8" i="43"/>
  <c r="O8" i="43"/>
  <c r="Q8" i="43"/>
  <c r="X25" i="43" l="1"/>
  <c r="X26" i="43"/>
  <c r="X21" i="43"/>
  <c r="X27" i="43"/>
  <c r="X15" i="43"/>
  <c r="X22" i="43"/>
  <c r="X18" i="43"/>
  <c r="X28" i="43"/>
  <c r="X23" i="43"/>
  <c r="X20" i="43"/>
  <c r="X16" i="43"/>
  <c r="X11" i="43"/>
  <c r="Q22" i="43"/>
  <c r="Q21" i="43"/>
  <c r="Q16" i="43"/>
  <c r="Q18" i="43"/>
  <c r="Q11" i="43"/>
  <c r="Q15" i="43"/>
  <c r="Q25" i="43"/>
  <c r="Q28" i="43"/>
  <c r="Q20" i="43"/>
  <c r="Q23" i="43"/>
  <c r="O20" i="43"/>
  <c r="O25" i="43"/>
  <c r="O21" i="43"/>
  <c r="O23" i="43"/>
  <c r="O28" i="43"/>
  <c r="O15" i="43"/>
  <c r="O16" i="43"/>
  <c r="O22" i="43"/>
  <c r="O18" i="43"/>
  <c r="O11" i="43"/>
  <c r="W23" i="43"/>
  <c r="W20" i="43"/>
  <c r="W16" i="43"/>
  <c r="W28" i="43"/>
  <c r="W15" i="43"/>
  <c r="W21" i="43"/>
  <c r="W22" i="43"/>
  <c r="W25" i="43"/>
  <c r="W18" i="43"/>
  <c r="W11" i="43"/>
  <c r="B66" i="33"/>
  <c r="J187" i="14" a="1"/>
  <c r="J187" i="14" s="1"/>
  <c r="F6" i="28" l="1"/>
  <c r="P57" i="33"/>
  <c r="B60" i="33"/>
  <c r="U60" i="33"/>
  <c r="T60" i="26"/>
  <c r="B60" i="26"/>
  <c r="K420" i="27"/>
  <c r="K419" i="27"/>
  <c r="K418" i="27"/>
  <c r="K417" i="27"/>
  <c r="K416" i="27"/>
  <c r="K415" i="27"/>
  <c r="K414" i="27"/>
  <c r="K413" i="27"/>
  <c r="T407" i="27"/>
  <c r="S407" i="27"/>
  <c r="R407" i="27"/>
  <c r="Q407" i="27"/>
  <c r="P407" i="27"/>
  <c r="O407" i="27"/>
  <c r="T406" i="27"/>
  <c r="S406" i="27"/>
  <c r="R406" i="27"/>
  <c r="Q406" i="27"/>
  <c r="P406" i="27"/>
  <c r="O406" i="27"/>
  <c r="T405" i="27"/>
  <c r="S405" i="27"/>
  <c r="R405" i="27"/>
  <c r="Q405" i="27"/>
  <c r="P405" i="27"/>
  <c r="O405" i="27"/>
  <c r="T404" i="27"/>
  <c r="S404" i="27"/>
  <c r="R404" i="27"/>
  <c r="Q404" i="27"/>
  <c r="P404" i="27"/>
  <c r="O404" i="27"/>
  <c r="T403" i="27"/>
  <c r="S403" i="27"/>
  <c r="R403" i="27"/>
  <c r="Q403" i="27"/>
  <c r="P403" i="27"/>
  <c r="O403" i="27"/>
  <c r="T402" i="27"/>
  <c r="S402" i="27"/>
  <c r="R402" i="27"/>
  <c r="Q402" i="27"/>
  <c r="P402" i="27"/>
  <c r="O402" i="27"/>
  <c r="T401" i="27"/>
  <c r="S401" i="27"/>
  <c r="R401" i="27"/>
  <c r="Q401" i="27"/>
  <c r="P401" i="27"/>
  <c r="O401" i="27"/>
  <c r="T400" i="27"/>
  <c r="S400" i="27"/>
  <c r="R400" i="27"/>
  <c r="Q400" i="27"/>
  <c r="P400" i="27"/>
  <c r="O400" i="27"/>
  <c r="C91" i="27"/>
  <c r="C37" i="27"/>
  <c r="C155" i="27"/>
  <c r="C146" i="27"/>
  <c r="C129" i="27"/>
  <c r="C110" i="27"/>
  <c r="C83" i="27"/>
  <c r="C64" i="27"/>
  <c r="C56" i="27"/>
  <c r="C29" i="27"/>
  <c r="C21" i="27"/>
  <c r="C111" i="27"/>
  <c r="C84" i="27"/>
  <c r="C65" i="27"/>
  <c r="C30" i="27"/>
  <c r="C143" i="27"/>
  <c r="C122" i="27"/>
  <c r="C95" i="27"/>
  <c r="C76" i="27"/>
  <c r="C62" i="27"/>
  <c r="C41" i="27"/>
  <c r="C27" i="27"/>
  <c r="C22" i="27"/>
  <c r="D22" i="27" s="1"/>
  <c r="C13" i="27"/>
  <c r="C3" i="27"/>
  <c r="M159" i="27"/>
  <c r="M158" i="27"/>
  <c r="M155" i="27"/>
  <c r="M146" i="27"/>
  <c r="M144" i="27"/>
  <c r="M140" i="27"/>
  <c r="M135" i="27"/>
  <c r="M134" i="27"/>
  <c r="M133" i="27"/>
  <c r="M129" i="27"/>
  <c r="M125" i="27"/>
  <c r="M123" i="27"/>
  <c r="M121" i="27"/>
  <c r="M118" i="27"/>
  <c r="M114" i="27"/>
  <c r="M110" i="27"/>
  <c r="M109" i="27"/>
  <c r="M96" i="27"/>
  <c r="M94" i="27"/>
  <c r="M91" i="27"/>
  <c r="M88" i="27"/>
  <c r="M87" i="27"/>
  <c r="M83" i="27"/>
  <c r="M77" i="27"/>
  <c r="M75" i="27"/>
  <c r="M72" i="27"/>
  <c r="M69" i="27"/>
  <c r="M68" i="27"/>
  <c r="M64" i="27"/>
  <c r="M63" i="27"/>
  <c r="M60" i="27"/>
  <c r="M59" i="27"/>
  <c r="M55" i="27"/>
  <c r="M42" i="27"/>
  <c r="M40" i="27"/>
  <c r="M37" i="27"/>
  <c r="M34" i="27"/>
  <c r="M33" i="27"/>
  <c r="M29" i="27"/>
  <c r="M28" i="27"/>
  <c r="M25" i="27"/>
  <c r="M24" i="27"/>
  <c r="M21" i="27"/>
  <c r="M14" i="27"/>
  <c r="M12" i="27"/>
  <c r="M10" i="27"/>
  <c r="M7" i="27"/>
  <c r="M6" i="27"/>
  <c r="L159" i="27"/>
  <c r="L158" i="27"/>
  <c r="L155" i="27"/>
  <c r="L154" i="27"/>
  <c r="L153" i="27"/>
  <c r="L152" i="27"/>
  <c r="L151" i="27"/>
  <c r="L150" i="27"/>
  <c r="L149" i="27"/>
  <c r="L148" i="27"/>
  <c r="L146" i="27"/>
  <c r="L144" i="27"/>
  <c r="L140" i="27"/>
  <c r="L135" i="27"/>
  <c r="L134" i="27"/>
  <c r="L133" i="27"/>
  <c r="L129" i="27"/>
  <c r="L125" i="27"/>
  <c r="L123" i="27"/>
  <c r="L121" i="27"/>
  <c r="L118" i="27"/>
  <c r="L114" i="27"/>
  <c r="L110" i="27"/>
  <c r="L109" i="27"/>
  <c r="L96" i="27"/>
  <c r="L94" i="27"/>
  <c r="L91" i="27"/>
  <c r="L88" i="27"/>
  <c r="L87" i="27"/>
  <c r="L83" i="27"/>
  <c r="L79" i="27"/>
  <c r="L77" i="27"/>
  <c r="L75" i="27"/>
  <c r="L72" i="27"/>
  <c r="L69" i="27"/>
  <c r="L68" i="27"/>
  <c r="L64" i="27"/>
  <c r="L63" i="27"/>
  <c r="L60" i="27"/>
  <c r="L59" i="27"/>
  <c r="L56" i="27"/>
  <c r="L55" i="27"/>
  <c r="L42" i="27"/>
  <c r="L40" i="27"/>
  <c r="L37" i="27"/>
  <c r="L34" i="27"/>
  <c r="L33" i="27"/>
  <c r="L29" i="27"/>
  <c r="L28" i="27"/>
  <c r="L25" i="27"/>
  <c r="L24" i="27"/>
  <c r="L21" i="27"/>
  <c r="L14" i="27"/>
  <c r="L12" i="27"/>
  <c r="L10" i="27"/>
  <c r="L7" i="27"/>
  <c r="L6" i="27"/>
  <c r="C139" i="27" l="1"/>
  <c r="C140" i="27"/>
  <c r="C138" i="27"/>
  <c r="H22" i="27"/>
  <c r="G22" i="27"/>
  <c r="K159" i="27"/>
  <c r="K158" i="27"/>
  <c r="K155" i="27"/>
  <c r="K154" i="27"/>
  <c r="K153" i="27"/>
  <c r="K152" i="27"/>
  <c r="K151" i="27"/>
  <c r="K150" i="27"/>
  <c r="K149" i="27"/>
  <c r="K148" i="27"/>
  <c r="K146" i="27"/>
  <c r="K144" i="27"/>
  <c r="K143" i="27"/>
  <c r="K133" i="27"/>
  <c r="K129" i="27"/>
  <c r="K128" i="27"/>
  <c r="K127" i="27"/>
  <c r="K126" i="27"/>
  <c r="K125" i="27"/>
  <c r="K123" i="27"/>
  <c r="K122" i="27"/>
  <c r="K121" i="27"/>
  <c r="K114" i="27"/>
  <c r="K110" i="27"/>
  <c r="K109" i="27"/>
  <c r="K108" i="27"/>
  <c r="K107" i="27"/>
  <c r="K106" i="27"/>
  <c r="K105" i="27"/>
  <c r="K104" i="27"/>
  <c r="K103" i="27"/>
  <c r="K102" i="27"/>
  <c r="K101" i="27"/>
  <c r="K100" i="27"/>
  <c r="K99" i="27"/>
  <c r="K98" i="27"/>
  <c r="K96" i="27"/>
  <c r="K95" i="27"/>
  <c r="K94" i="27"/>
  <c r="K87" i="27"/>
  <c r="K83" i="27"/>
  <c r="K82" i="27"/>
  <c r="K81" i="27"/>
  <c r="K80" i="27"/>
  <c r="K79" i="27"/>
  <c r="K77" i="27"/>
  <c r="K76" i="27"/>
  <c r="K75" i="27"/>
  <c r="K68" i="27"/>
  <c r="K64" i="27"/>
  <c r="K63" i="27"/>
  <c r="K62" i="27"/>
  <c r="K59" i="27"/>
  <c r="K56" i="27"/>
  <c r="K55" i="27"/>
  <c r="K54" i="27"/>
  <c r="K53" i="27"/>
  <c r="K52" i="27"/>
  <c r="K51" i="27"/>
  <c r="K50" i="27"/>
  <c r="K49" i="27"/>
  <c r="K48" i="27"/>
  <c r="K47" i="27"/>
  <c r="K46" i="27"/>
  <c r="K45" i="27"/>
  <c r="K44" i="27"/>
  <c r="K42" i="27"/>
  <c r="K41" i="27"/>
  <c r="K40" i="27"/>
  <c r="K33" i="27"/>
  <c r="K29" i="27"/>
  <c r="K28" i="27"/>
  <c r="K27" i="27"/>
  <c r="K24" i="27"/>
  <c r="K21" i="27"/>
  <c r="K20" i="27"/>
  <c r="K19" i="27"/>
  <c r="K18" i="27"/>
  <c r="K16" i="27"/>
  <c r="K14" i="27"/>
  <c r="K13" i="27"/>
  <c r="K12" i="27"/>
  <c r="K6" i="27"/>
  <c r="K17" i="27"/>
  <c r="J117" i="27"/>
  <c r="J90" i="27"/>
  <c r="J71" i="27"/>
  <c r="J36" i="27"/>
  <c r="J9" i="27"/>
  <c r="J159" i="27"/>
  <c r="J158" i="27"/>
  <c r="J155" i="27"/>
  <c r="J154" i="27"/>
  <c r="J153" i="27"/>
  <c r="J152" i="27"/>
  <c r="J151" i="27"/>
  <c r="J150" i="27"/>
  <c r="J149" i="27"/>
  <c r="J148" i="27"/>
  <c r="J146" i="27"/>
  <c r="J144" i="27"/>
  <c r="J140" i="27"/>
  <c r="J139" i="27"/>
  <c r="J138" i="27"/>
  <c r="J135" i="27"/>
  <c r="J134" i="27"/>
  <c r="J133" i="27"/>
  <c r="J129" i="27"/>
  <c r="J125" i="27"/>
  <c r="J123" i="27"/>
  <c r="J121" i="27"/>
  <c r="J120" i="27"/>
  <c r="J124" i="27" s="1"/>
  <c r="J118" i="27"/>
  <c r="J114" i="27"/>
  <c r="J110" i="27"/>
  <c r="J109" i="27"/>
  <c r="J96" i="27"/>
  <c r="J94" i="27"/>
  <c r="J93" i="27"/>
  <c r="J97" i="27" s="1"/>
  <c r="J91" i="27"/>
  <c r="J88" i="27"/>
  <c r="J87" i="27"/>
  <c r="J83" i="27"/>
  <c r="J79" i="27"/>
  <c r="J77" i="27"/>
  <c r="J75" i="27"/>
  <c r="J74" i="27"/>
  <c r="J78" i="27" s="1"/>
  <c r="J72" i="27"/>
  <c r="J69" i="27"/>
  <c r="J68" i="27"/>
  <c r="J64" i="27"/>
  <c r="J63" i="27"/>
  <c r="J60" i="27"/>
  <c r="J59" i="27"/>
  <c r="J56" i="27"/>
  <c r="J55" i="27"/>
  <c r="J42" i="27"/>
  <c r="J40" i="27"/>
  <c r="J39" i="27"/>
  <c r="J43" i="27" s="1"/>
  <c r="J37" i="27"/>
  <c r="J34" i="27"/>
  <c r="J33" i="27"/>
  <c r="J29" i="27"/>
  <c r="J28" i="27"/>
  <c r="J25" i="27"/>
  <c r="J24" i="27"/>
  <c r="J21" i="27"/>
  <c r="J14" i="27"/>
  <c r="J12" i="27"/>
  <c r="J11" i="27"/>
  <c r="J15" i="27" s="1"/>
  <c r="J10" i="27"/>
  <c r="J7" i="27"/>
  <c r="J6" i="27"/>
  <c r="C6" i="27" l="1"/>
  <c r="C7" i="27"/>
  <c r="C9" i="27"/>
  <c r="C14" i="27" l="1"/>
  <c r="C24" i="27"/>
  <c r="C25" i="27"/>
  <c r="C26" i="27" l="1"/>
  <c r="C28" i="27"/>
  <c r="C33" i="27"/>
  <c r="C34" i="27"/>
  <c r="C38" i="27"/>
  <c r="C36" i="27" l="1"/>
  <c r="C42" i="27"/>
  <c r="C57" i="27"/>
  <c r="D57" i="27" s="1"/>
  <c r="C59" i="27"/>
  <c r="C60" i="27"/>
  <c r="H57" i="27" l="1"/>
  <c r="G57" i="27"/>
  <c r="C61" i="27"/>
  <c r="C63" i="27"/>
  <c r="C68" i="27"/>
  <c r="C69" i="27"/>
  <c r="C71" i="27" l="1"/>
  <c r="C73" i="27"/>
  <c r="C77" i="27"/>
  <c r="C79" i="27"/>
  <c r="M79" i="27" s="1"/>
  <c r="C87" i="27"/>
  <c r="C88" i="27"/>
  <c r="C92" i="27"/>
  <c r="C90" i="27" l="1"/>
  <c r="C96" i="27"/>
  <c r="C114" i="27"/>
  <c r="C119" i="27"/>
  <c r="C117" i="27" l="1"/>
  <c r="C123" i="27"/>
  <c r="C133" i="27"/>
  <c r="C134" i="27"/>
  <c r="C135" i="27"/>
  <c r="C137" i="27" l="1"/>
  <c r="C144" i="27"/>
  <c r="C158" i="27"/>
  <c r="C159" i="27"/>
  <c r="I159" i="27" l="1"/>
  <c r="AJ1" i="34"/>
  <c r="I143" i="27" l="1"/>
  <c r="I132" i="27" s="1"/>
  <c r="I122" i="27"/>
  <c r="I113" i="27" s="1"/>
  <c r="I95" i="27"/>
  <c r="I86" i="27" s="1"/>
  <c r="I76" i="27"/>
  <c r="I67" i="27" s="1"/>
  <c r="I62" i="27"/>
  <c r="I27" i="27"/>
  <c r="D159" i="27"/>
  <c r="H159" i="27" s="1"/>
  <c r="D158" i="27"/>
  <c r="G158" i="27" s="1"/>
  <c r="P12" i="26"/>
  <c r="AH12" i="26" s="1"/>
  <c r="H158" i="27" l="1"/>
  <c r="G159" i="27"/>
  <c r="I31" i="14" l="1"/>
  <c r="H31" i="14"/>
  <c r="G31" i="14"/>
  <c r="E31" i="14"/>
  <c r="C31" i="14"/>
  <c r="H24" i="14"/>
  <c r="E24" i="14"/>
  <c r="I11" i="14"/>
  <c r="G11" i="14"/>
  <c r="J10" i="14"/>
  <c r="I10" i="14"/>
  <c r="H10" i="14"/>
  <c r="G10" i="14"/>
  <c r="F10" i="14"/>
  <c r="E10" i="14"/>
  <c r="D10" i="14"/>
  <c r="C10" i="14"/>
  <c r="J9" i="14"/>
  <c r="I9" i="14"/>
  <c r="H9" i="14"/>
  <c r="G9" i="14"/>
  <c r="F9" i="14"/>
  <c r="E9" i="14"/>
  <c r="D9" i="14"/>
  <c r="C9" i="14"/>
  <c r="K11" i="14" l="1"/>
  <c r="K9" i="14"/>
  <c r="K10" i="14"/>
  <c r="L10" i="14" l="1"/>
  <c r="L181" i="35" l="1"/>
  <c r="L184" i="35"/>
  <c r="L187" i="35"/>
  <c r="L172" i="35"/>
  <c r="L178" i="35"/>
  <c r="L175" i="35"/>
  <c r="J202" i="35"/>
  <c r="J166" i="35"/>
  <c r="J130" i="35"/>
  <c r="J94" i="35"/>
  <c r="J199" i="35"/>
  <c r="J163" i="35"/>
  <c r="J91" i="35"/>
  <c r="J19" i="35"/>
  <c r="J196" i="35"/>
  <c r="J160" i="35"/>
  <c r="J16" i="35"/>
  <c r="J193" i="35"/>
  <c r="J157" i="35"/>
  <c r="J85" i="35"/>
  <c r="J13" i="35"/>
  <c r="J151" i="35"/>
  <c r="J190" i="35"/>
  <c r="J154" i="35"/>
  <c r="J82" i="35"/>
  <c r="J10" i="35"/>
  <c r="J187" i="35"/>
  <c r="J79" i="35"/>
  <c r="J184" i="35"/>
  <c r="J148" i="35"/>
  <c r="J76" i="35"/>
  <c r="J208" i="35"/>
  <c r="J217" i="35"/>
  <c r="J181" i="35"/>
  <c r="J145" i="35"/>
  <c r="J73" i="35"/>
  <c r="J37" i="35"/>
  <c r="J34" i="35"/>
  <c r="J214" i="35"/>
  <c r="J178" i="35"/>
  <c r="J142" i="35"/>
  <c r="J70" i="35"/>
  <c r="J136" i="35"/>
  <c r="J28" i="35"/>
  <c r="J211" i="35"/>
  <c r="J175" i="35"/>
  <c r="J139" i="35"/>
  <c r="J31" i="35"/>
  <c r="J172" i="35"/>
  <c r="J88" i="35"/>
  <c r="J205" i="35"/>
  <c r="J169" i="35"/>
  <c r="J133" i="35"/>
  <c r="J97" i="35"/>
  <c r="J25" i="35"/>
  <c r="J22" i="35"/>
  <c r="Y90" i="14"/>
  <c r="I15" i="41" l="1"/>
  <c r="I15" i="33"/>
  <c r="H15" i="26"/>
  <c r="Z15" i="26" s="1"/>
  <c r="J42" i="36"/>
  <c r="J26" i="36"/>
  <c r="B26" i="36"/>
  <c r="J10" i="36"/>
  <c r="I15" i="34"/>
  <c r="B42" i="36"/>
  <c r="B10" i="36"/>
  <c r="J27" i="36"/>
  <c r="B11" i="36"/>
  <c r="J11" i="36"/>
  <c r="J43" i="36"/>
  <c r="B43" i="36"/>
  <c r="B27" i="36"/>
  <c r="H118" i="14"/>
  <c r="I407" i="27" l="1"/>
  <c r="I406" i="27"/>
  <c r="I405" i="27"/>
  <c r="I404" i="27"/>
  <c r="I403" i="27"/>
  <c r="I402" i="27"/>
  <c r="I401" i="27"/>
  <c r="I400" i="27"/>
  <c r="I399" i="27"/>
  <c r="P1" i="41"/>
  <c r="AI1" i="41" s="1"/>
  <c r="J400" i="27"/>
  <c r="J401" i="27" s="1"/>
  <c r="J402" i="27" s="1"/>
  <c r="J403" i="27" s="1"/>
  <c r="J404" i="27" s="1"/>
  <c r="J405" i="27" s="1"/>
  <c r="J406" i="27" s="1"/>
  <c r="J407" i="27" s="1"/>
  <c r="AK64" i="41"/>
  <c r="AG64" i="41"/>
  <c r="P64" i="41"/>
  <c r="AI64" i="41" s="1"/>
  <c r="N64" i="41"/>
  <c r="AG62" i="41"/>
  <c r="AK61" i="41"/>
  <c r="Q5" i="41"/>
  <c r="AJ5" i="41" s="1"/>
  <c r="AI56" i="41"/>
  <c r="P56" i="41"/>
  <c r="Q54" i="41"/>
  <c r="E22" i="41"/>
  <c r="AK21" i="41"/>
  <c r="AJ21" i="41"/>
  <c r="AH21" i="41"/>
  <c r="W21" i="41"/>
  <c r="V21" i="41"/>
  <c r="R21" i="41"/>
  <c r="Q21" i="41"/>
  <c r="O21" i="41"/>
  <c r="D21" i="41"/>
  <c r="C21" i="41"/>
  <c r="AB19" i="41"/>
  <c r="I19" i="41"/>
  <c r="AB18" i="41"/>
  <c r="U18" i="41"/>
  <c r="N18" i="41"/>
  <c r="AG18" i="41" s="1"/>
  <c r="I18" i="41"/>
  <c r="C18" i="41"/>
  <c r="V18" i="41" s="1"/>
  <c r="B18" i="41"/>
  <c r="AJ17" i="41"/>
  <c r="N17" i="41"/>
  <c r="AG17" i="41" s="1"/>
  <c r="B17" i="41"/>
  <c r="U17" i="41" s="1"/>
  <c r="N16" i="41"/>
  <c r="AG16" i="41" s="1"/>
  <c r="B16" i="41"/>
  <c r="U16" i="41" s="1"/>
  <c r="Q15" i="41"/>
  <c r="AJ15" i="41" s="1"/>
  <c r="N15" i="41"/>
  <c r="AG15" i="41" s="1"/>
  <c r="U15" i="41"/>
  <c r="N14" i="41"/>
  <c r="AG14" i="41" s="1"/>
  <c r="B14" i="41"/>
  <c r="U14" i="41" s="1"/>
  <c r="AG13" i="41"/>
  <c r="Q13" i="41"/>
  <c r="AJ13" i="41" s="1"/>
  <c r="B13" i="41"/>
  <c r="U13" i="41" s="1"/>
  <c r="Q12" i="41"/>
  <c r="AJ12" i="41" s="1"/>
  <c r="N12" i="41"/>
  <c r="AG12" i="41" s="1"/>
  <c r="B12" i="41"/>
  <c r="U12" i="41" s="1"/>
  <c r="N9" i="41"/>
  <c r="AG9" i="41" s="1"/>
  <c r="I9" i="41"/>
  <c r="AB9" i="41" s="1"/>
  <c r="B9" i="41"/>
  <c r="U9" i="41" s="1"/>
  <c r="AF7" i="41"/>
  <c r="Q7" i="41"/>
  <c r="AJ7" i="41" s="1"/>
  <c r="M7" i="41"/>
  <c r="M6" i="41"/>
  <c r="AF6" i="41" s="1"/>
  <c r="M5" i="41"/>
  <c r="AF5" i="41" s="1"/>
  <c r="AJ4" i="41"/>
  <c r="M3" i="41"/>
  <c r="AF3" i="41" s="1"/>
  <c r="AF2" i="41"/>
  <c r="Q2" i="41"/>
  <c r="AJ2" i="41" s="1"/>
  <c r="A24" i="1"/>
  <c r="A24" i="22"/>
  <c r="A24" i="20"/>
  <c r="A24" i="21"/>
  <c r="A24" i="5"/>
  <c r="J4" i="23"/>
  <c r="J4" i="18"/>
  <c r="J4" i="1"/>
  <c r="J4" i="22"/>
  <c r="J4" i="20"/>
  <c r="J4" i="21"/>
  <c r="J4" i="19"/>
  <c r="J4" i="5"/>
  <c r="J32" i="21"/>
  <c r="J31" i="21"/>
  <c r="J30" i="21"/>
  <c r="J26" i="21"/>
  <c r="J25" i="21"/>
  <c r="J32" i="5"/>
  <c r="J31" i="5"/>
  <c r="J30" i="5"/>
  <c r="J26" i="5"/>
  <c r="J25" i="5"/>
  <c r="A15" i="23"/>
  <c r="A14" i="1"/>
  <c r="A14" i="22"/>
  <c r="A14" i="20"/>
  <c r="A14" i="21"/>
  <c r="C6" i="23"/>
  <c r="C6" i="18"/>
  <c r="C6" i="1"/>
  <c r="C6" i="22"/>
  <c r="C6" i="20"/>
  <c r="C6" i="21"/>
  <c r="C6" i="19"/>
  <c r="C6" i="5"/>
  <c r="C23" i="38" l="1"/>
  <c r="H38" i="14"/>
  <c r="D39" i="14"/>
  <c r="I22" i="27" s="1"/>
  <c r="F136" i="27"/>
  <c r="I136" i="27" s="1"/>
  <c r="F116" i="27"/>
  <c r="I116" i="27" s="1"/>
  <c r="F89" i="27"/>
  <c r="I89" i="27" s="1"/>
  <c r="F70" i="27"/>
  <c r="I70" i="27" s="1"/>
  <c r="F61" i="27"/>
  <c r="I61" i="27" s="1"/>
  <c r="F26" i="27"/>
  <c r="I26" i="27" s="1"/>
  <c r="F8" i="27"/>
  <c r="I8" i="27" s="1"/>
  <c r="E136" i="27"/>
  <c r="E116" i="27"/>
  <c r="E89" i="27"/>
  <c r="E70" i="27"/>
  <c r="E61" i="27"/>
  <c r="E26" i="27"/>
  <c r="E8" i="27"/>
  <c r="F35" i="27"/>
  <c r="I35" i="27" s="1"/>
  <c r="E35" i="27"/>
  <c r="D21" i="21"/>
  <c r="D21" i="5"/>
  <c r="C69" i="38" l="1"/>
  <c r="C79" i="37"/>
  <c r="F38" i="14"/>
  <c r="D38" i="14"/>
  <c r="C26" i="37"/>
  <c r="C51" i="37"/>
  <c r="C24" i="38"/>
  <c r="C27" i="37"/>
  <c r="C93" i="38"/>
  <c r="C108" i="37"/>
  <c r="C8" i="23"/>
  <c r="C8" i="18"/>
  <c r="C8" i="1"/>
  <c r="C8" i="22"/>
  <c r="C8" i="20"/>
  <c r="C8" i="21"/>
  <c r="C8" i="19"/>
  <c r="C7" i="19"/>
  <c r="C8" i="5"/>
  <c r="C109" i="37" l="1"/>
  <c r="I39" i="14"/>
  <c r="E2" i="22" s="1"/>
  <c r="I38" i="14"/>
  <c r="C92" i="38"/>
  <c r="C198" i="35"/>
  <c r="C195" i="35"/>
  <c r="C192" i="35"/>
  <c r="C210" i="35"/>
  <c r="C213" i="35"/>
  <c r="D59" i="27"/>
  <c r="N247" i="35"/>
  <c r="N244" i="35"/>
  <c r="N241" i="35"/>
  <c r="N238" i="35"/>
  <c r="N235" i="35"/>
  <c r="N232" i="35"/>
  <c r="N229" i="35"/>
  <c r="N226" i="35"/>
  <c r="N223" i="35"/>
  <c r="N220" i="35"/>
  <c r="N217" i="35"/>
  <c r="N214" i="35"/>
  <c r="N211" i="35"/>
  <c r="N208" i="35"/>
  <c r="N205" i="35"/>
  <c r="N202" i="35"/>
  <c r="N199" i="35"/>
  <c r="N196" i="35"/>
  <c r="N193" i="35"/>
  <c r="N190" i="35"/>
  <c r="N187" i="35"/>
  <c r="N184" i="35"/>
  <c r="N181" i="35"/>
  <c r="N178" i="35"/>
  <c r="N175" i="35"/>
  <c r="N172" i="35"/>
  <c r="N169" i="35"/>
  <c r="N166" i="35"/>
  <c r="N163" i="35"/>
  <c r="N160" i="35"/>
  <c r="N157" i="35"/>
  <c r="N154" i="35"/>
  <c r="N151" i="35"/>
  <c r="N148" i="35"/>
  <c r="N145" i="35"/>
  <c r="N142" i="35"/>
  <c r="N139" i="35"/>
  <c r="N136" i="35"/>
  <c r="N133" i="35"/>
  <c r="N130" i="35"/>
  <c r="N127" i="35"/>
  <c r="N124" i="35"/>
  <c r="N121" i="35"/>
  <c r="N118" i="35"/>
  <c r="N115" i="35"/>
  <c r="N112" i="35"/>
  <c r="N109" i="35"/>
  <c r="N106" i="35"/>
  <c r="N103" i="35"/>
  <c r="N100" i="35"/>
  <c r="N97" i="35"/>
  <c r="N94" i="35"/>
  <c r="N91" i="35"/>
  <c r="N88" i="35"/>
  <c r="N85" i="35"/>
  <c r="N82" i="35"/>
  <c r="N79" i="35"/>
  <c r="N76" i="35"/>
  <c r="N73" i="35"/>
  <c r="N70" i="35"/>
  <c r="N67" i="35"/>
  <c r="N64" i="35"/>
  <c r="N61" i="35"/>
  <c r="N58" i="35"/>
  <c r="N55" i="35"/>
  <c r="N52" i="35"/>
  <c r="N49" i="35"/>
  <c r="N46" i="35"/>
  <c r="N43" i="35"/>
  <c r="N40" i="35"/>
  <c r="N37" i="35"/>
  <c r="N34" i="35"/>
  <c r="N31" i="35"/>
  <c r="N28" i="35"/>
  <c r="N25" i="35"/>
  <c r="N22" i="35"/>
  <c r="N19" i="35"/>
  <c r="N16" i="35"/>
  <c r="N13" i="35"/>
  <c r="N10" i="35"/>
  <c r="J137" i="27"/>
  <c r="I90" i="27"/>
  <c r="I117" i="27"/>
  <c r="I71" i="27"/>
  <c r="I36" i="27"/>
  <c r="I9" i="27"/>
  <c r="I92" i="27"/>
  <c r="I38" i="27"/>
  <c r="C207" i="35" l="1"/>
  <c r="C201" i="35"/>
  <c r="C216" i="35"/>
  <c r="C204" i="35"/>
  <c r="C189" i="35"/>
  <c r="D24" i="27"/>
  <c r="J119" i="27"/>
  <c r="J73" i="27"/>
  <c r="J128" i="27"/>
  <c r="J82" i="27"/>
  <c r="J92" i="27"/>
  <c r="J38" i="27"/>
  <c r="J131" i="27"/>
  <c r="J112" i="27"/>
  <c r="J85" i="27"/>
  <c r="J66" i="27"/>
  <c r="J4" i="27"/>
  <c r="J31" i="27"/>
  <c r="C173" i="14" l="1"/>
  <c r="C174" i="14"/>
  <c r="Q54" i="33" l="1"/>
  <c r="P54" i="26"/>
  <c r="W21" i="34"/>
  <c r="V21" i="34"/>
  <c r="Q5" i="34"/>
  <c r="D21" i="34"/>
  <c r="C21" i="34"/>
  <c r="N9" i="34"/>
  <c r="AG9" i="34" s="1"/>
  <c r="I9" i="34"/>
  <c r="AB9" i="34" s="1"/>
  <c r="B9" i="34"/>
  <c r="U9" i="34" s="1"/>
  <c r="M6" i="34"/>
  <c r="M5" i="34"/>
  <c r="AB18" i="34"/>
  <c r="U18" i="34"/>
  <c r="I18" i="34"/>
  <c r="B18" i="34"/>
  <c r="N17" i="34"/>
  <c r="N18" i="34"/>
  <c r="N16" i="34"/>
  <c r="N15" i="34"/>
  <c r="N14" i="34"/>
  <c r="N12" i="34"/>
  <c r="AH21" i="34"/>
  <c r="O21" i="34"/>
  <c r="AH64" i="34"/>
  <c r="O64" i="34"/>
  <c r="T56" i="34"/>
  <c r="A56" i="34"/>
  <c r="P1" i="34"/>
  <c r="Q7" i="33" l="1"/>
  <c r="AK64" i="34"/>
  <c r="AK64" i="33"/>
  <c r="AI64" i="26"/>
  <c r="AK61" i="33"/>
  <c r="AI56" i="33"/>
  <c r="AI61" i="26"/>
  <c r="AG56" i="26"/>
  <c r="M35" i="14"/>
  <c r="M34" i="14"/>
  <c r="C397" i="35"/>
  <c r="C393" i="35"/>
  <c r="C389" i="35"/>
  <c r="C385" i="35"/>
  <c r="C381" i="35"/>
  <c r="E399" i="35"/>
  <c r="E395" i="35"/>
  <c r="E391" i="35"/>
  <c r="E387" i="35"/>
  <c r="E383" i="35"/>
  <c r="G397" i="35"/>
  <c r="G393" i="35"/>
  <c r="G389" i="35"/>
  <c r="G385" i="35"/>
  <c r="G381" i="35"/>
  <c r="D397" i="35"/>
  <c r="D393" i="35"/>
  <c r="D389" i="35"/>
  <c r="D385" i="35"/>
  <c r="D381" i="35"/>
  <c r="T145" i="14"/>
  <c r="A17" i="28"/>
  <c r="M69" i="14" l="1"/>
  <c r="A18" i="28"/>
  <c r="O247" i="35" l="1"/>
  <c r="O244" i="35"/>
  <c r="O241" i="35"/>
  <c r="O238" i="35"/>
  <c r="O235" i="35"/>
  <c r="O232" i="35"/>
  <c r="O229" i="35"/>
  <c r="O226" i="35"/>
  <c r="O223" i="35"/>
  <c r="O220" i="35"/>
  <c r="O217" i="35"/>
  <c r="O214" i="35"/>
  <c r="O211" i="35"/>
  <c r="O208" i="35"/>
  <c r="O205" i="35"/>
  <c r="O202" i="35"/>
  <c r="O199" i="35"/>
  <c r="O196" i="35"/>
  <c r="O193" i="35"/>
  <c r="O190" i="35"/>
  <c r="O187" i="35"/>
  <c r="O184" i="35"/>
  <c r="O181" i="35"/>
  <c r="O178" i="35"/>
  <c r="O175" i="35"/>
  <c r="O172" i="35"/>
  <c r="O169" i="35"/>
  <c r="O166" i="35"/>
  <c r="O163" i="35"/>
  <c r="O160" i="35"/>
  <c r="O157" i="35"/>
  <c r="O154" i="35"/>
  <c r="O151" i="35"/>
  <c r="O148" i="35"/>
  <c r="O145" i="35"/>
  <c r="O142" i="35"/>
  <c r="O139" i="35"/>
  <c r="O136" i="35"/>
  <c r="O133" i="35"/>
  <c r="O130" i="35"/>
  <c r="O127" i="35"/>
  <c r="O124" i="35"/>
  <c r="O121" i="35"/>
  <c r="O118" i="35"/>
  <c r="O115" i="35"/>
  <c r="O112" i="35"/>
  <c r="O109" i="35"/>
  <c r="O106" i="35"/>
  <c r="O103" i="35"/>
  <c r="O100" i="35"/>
  <c r="O97" i="35"/>
  <c r="O94" i="35"/>
  <c r="O91" i="35"/>
  <c r="O88" i="35"/>
  <c r="O85" i="35"/>
  <c r="O82" i="35"/>
  <c r="O79" i="35"/>
  <c r="O76" i="35"/>
  <c r="O73" i="35"/>
  <c r="O70" i="35"/>
  <c r="O67" i="35"/>
  <c r="O64" i="35"/>
  <c r="O61" i="35"/>
  <c r="O58" i="35"/>
  <c r="O55" i="35"/>
  <c r="O52" i="35"/>
  <c r="O49" i="35"/>
  <c r="O46" i="35"/>
  <c r="O43" i="35"/>
  <c r="O40" i="35"/>
  <c r="O37" i="35"/>
  <c r="O34" i="35"/>
  <c r="O31" i="35"/>
  <c r="O28" i="35"/>
  <c r="O22" i="35"/>
  <c r="O19" i="35"/>
  <c r="O16" i="35"/>
  <c r="O13" i="35"/>
  <c r="O10" i="35"/>
  <c r="G27" i="28" l="1"/>
  <c r="A27" i="28"/>
  <c r="G26" i="28"/>
  <c r="A26" i="28"/>
  <c r="A25" i="28"/>
  <c r="A24" i="28"/>
  <c r="A23" i="28"/>
  <c r="A22" i="28"/>
  <c r="G21" i="28"/>
  <c r="C21" i="28"/>
  <c r="A21" i="28"/>
  <c r="T144" i="14" l="1"/>
  <c r="C18" i="23"/>
  <c r="F323" i="35" l="1"/>
  <c r="F319" i="35"/>
  <c r="F315" i="35"/>
  <c r="F311" i="35"/>
  <c r="F378" i="35"/>
  <c r="F374" i="35"/>
  <c r="F370" i="35"/>
  <c r="D434" i="35"/>
  <c r="A381" i="35"/>
  <c r="A251" i="35"/>
  <c r="J3" i="35"/>
  <c r="C220" i="35"/>
  <c r="D10" i="35"/>
  <c r="K10" i="35"/>
  <c r="D220" i="35"/>
  <c r="K247" i="35"/>
  <c r="D247" i="35"/>
  <c r="C247" i="35"/>
  <c r="K244" i="35"/>
  <c r="D244" i="35"/>
  <c r="C244" i="35"/>
  <c r="K241" i="35"/>
  <c r="D241" i="35"/>
  <c r="C241" i="35"/>
  <c r="K238" i="35"/>
  <c r="D238" i="35"/>
  <c r="C238" i="35"/>
  <c r="K235" i="35"/>
  <c r="D235" i="35"/>
  <c r="C235" i="35"/>
  <c r="K232" i="35"/>
  <c r="D232" i="35"/>
  <c r="C232" i="35"/>
  <c r="K229" i="35"/>
  <c r="D229" i="35"/>
  <c r="C229" i="35"/>
  <c r="K226" i="35"/>
  <c r="D226" i="35"/>
  <c r="C226" i="35"/>
  <c r="K223" i="35"/>
  <c r="D223" i="35"/>
  <c r="C223" i="35"/>
  <c r="K220" i="35"/>
  <c r="K217" i="35"/>
  <c r="D217" i="35"/>
  <c r="C217" i="35"/>
  <c r="K214" i="35"/>
  <c r="D214" i="35"/>
  <c r="C214" i="35"/>
  <c r="K211" i="35"/>
  <c r="D211" i="35"/>
  <c r="C211" i="35"/>
  <c r="K208" i="35"/>
  <c r="D208" i="35"/>
  <c r="C208" i="35"/>
  <c r="K205" i="35"/>
  <c r="D205" i="35"/>
  <c r="C205" i="35"/>
  <c r="K202" i="35"/>
  <c r="D202" i="35"/>
  <c r="C202" i="35"/>
  <c r="K199" i="35"/>
  <c r="D199" i="35"/>
  <c r="C199" i="35"/>
  <c r="K196" i="35"/>
  <c r="D196" i="35"/>
  <c r="C196" i="35"/>
  <c r="K193" i="35"/>
  <c r="D193" i="35"/>
  <c r="C193" i="35"/>
  <c r="K190" i="35"/>
  <c r="D190" i="35"/>
  <c r="C190" i="35"/>
  <c r="K187" i="35"/>
  <c r="D187" i="35"/>
  <c r="C187" i="35"/>
  <c r="K184" i="35"/>
  <c r="D184" i="35"/>
  <c r="C184" i="35"/>
  <c r="K181" i="35"/>
  <c r="D181" i="35"/>
  <c r="C181" i="35"/>
  <c r="K178" i="35"/>
  <c r="D178" i="35"/>
  <c r="C178" i="35"/>
  <c r="K175" i="35"/>
  <c r="D175" i="35"/>
  <c r="C175" i="35"/>
  <c r="K172" i="35"/>
  <c r="D172" i="35"/>
  <c r="C172" i="35"/>
  <c r="K169" i="35"/>
  <c r="D169" i="35"/>
  <c r="C169" i="35"/>
  <c r="K166" i="35"/>
  <c r="D166" i="35"/>
  <c r="C166" i="35"/>
  <c r="K163" i="35"/>
  <c r="D163" i="35"/>
  <c r="C163" i="35"/>
  <c r="K160" i="35"/>
  <c r="D160" i="35"/>
  <c r="C160" i="35"/>
  <c r="K157" i="35"/>
  <c r="D157" i="35"/>
  <c r="C157" i="35"/>
  <c r="K154" i="35"/>
  <c r="D154" i="35"/>
  <c r="C154" i="35"/>
  <c r="K151" i="35"/>
  <c r="D151" i="35"/>
  <c r="C151" i="35"/>
  <c r="K148" i="35"/>
  <c r="D148" i="35"/>
  <c r="C148" i="35"/>
  <c r="K145" i="35"/>
  <c r="D145" i="35"/>
  <c r="C145" i="35"/>
  <c r="K142" i="35"/>
  <c r="D142" i="35"/>
  <c r="C142" i="35"/>
  <c r="K139" i="35"/>
  <c r="D139" i="35"/>
  <c r="C139" i="35"/>
  <c r="K136" i="35"/>
  <c r="D136" i="35"/>
  <c r="C136" i="35"/>
  <c r="K133" i="35"/>
  <c r="D133" i="35"/>
  <c r="C133" i="35"/>
  <c r="K130" i="35"/>
  <c r="D130" i="35"/>
  <c r="C130" i="35"/>
  <c r="K127" i="35"/>
  <c r="D127" i="35"/>
  <c r="C127" i="35"/>
  <c r="K124" i="35"/>
  <c r="D124" i="35"/>
  <c r="C124" i="35"/>
  <c r="K121" i="35"/>
  <c r="D121" i="35"/>
  <c r="C121" i="35"/>
  <c r="K118" i="35"/>
  <c r="D118" i="35"/>
  <c r="C118" i="35"/>
  <c r="K115" i="35"/>
  <c r="D115" i="35"/>
  <c r="C115" i="35"/>
  <c r="K112" i="35"/>
  <c r="D112" i="35"/>
  <c r="C112" i="35"/>
  <c r="K109" i="35"/>
  <c r="D109" i="35"/>
  <c r="C109" i="35"/>
  <c r="K106" i="35"/>
  <c r="D106" i="35"/>
  <c r="C106" i="35"/>
  <c r="K103" i="35"/>
  <c r="D103" i="35"/>
  <c r="C103" i="35"/>
  <c r="K100" i="35"/>
  <c r="D100" i="35"/>
  <c r="C100" i="35"/>
  <c r="K97" i="35"/>
  <c r="D97" i="35"/>
  <c r="C97" i="35"/>
  <c r="K94" i="35"/>
  <c r="D94" i="35"/>
  <c r="C94" i="35"/>
  <c r="K91" i="35"/>
  <c r="D91" i="35"/>
  <c r="C91" i="35"/>
  <c r="K88" i="35"/>
  <c r="D88" i="35"/>
  <c r="C88" i="35"/>
  <c r="K85" i="35"/>
  <c r="D85" i="35"/>
  <c r="C85" i="35"/>
  <c r="K82" i="35"/>
  <c r="D82" i="35"/>
  <c r="C82" i="35"/>
  <c r="K79" i="35"/>
  <c r="D79" i="35"/>
  <c r="C79" i="35"/>
  <c r="K76" i="35"/>
  <c r="D76" i="35"/>
  <c r="C76" i="35"/>
  <c r="K73" i="35"/>
  <c r="D73" i="35"/>
  <c r="C73" i="35"/>
  <c r="K70" i="35"/>
  <c r="D70" i="35"/>
  <c r="C70" i="35"/>
  <c r="K67" i="35"/>
  <c r="D67" i="35"/>
  <c r="C67" i="35"/>
  <c r="K64" i="35"/>
  <c r="D64" i="35"/>
  <c r="C64" i="35"/>
  <c r="K61" i="35"/>
  <c r="D61" i="35"/>
  <c r="C61" i="35"/>
  <c r="K58" i="35"/>
  <c r="D58" i="35"/>
  <c r="C58" i="35"/>
  <c r="K55" i="35"/>
  <c r="D55" i="35"/>
  <c r="C55" i="35"/>
  <c r="K52" i="35"/>
  <c r="D52" i="35"/>
  <c r="C52" i="35"/>
  <c r="K49" i="35"/>
  <c r="D49" i="35"/>
  <c r="C49" i="35"/>
  <c r="K46" i="35"/>
  <c r="D46" i="35"/>
  <c r="C46" i="35"/>
  <c r="K43" i="35"/>
  <c r="D43" i="35"/>
  <c r="C43" i="35"/>
  <c r="K40" i="35"/>
  <c r="D40" i="35"/>
  <c r="C40" i="35"/>
  <c r="K37" i="35"/>
  <c r="D37" i="35"/>
  <c r="C37" i="35"/>
  <c r="K34" i="35"/>
  <c r="D34" i="35"/>
  <c r="C34" i="35"/>
  <c r="K31" i="35"/>
  <c r="D31" i="35"/>
  <c r="C31" i="35"/>
  <c r="K28" i="35"/>
  <c r="D28" i="35"/>
  <c r="C28" i="35"/>
  <c r="K25" i="35"/>
  <c r="D25" i="35"/>
  <c r="C25" i="35"/>
  <c r="K22" i="35"/>
  <c r="D22" i="35"/>
  <c r="C22" i="35"/>
  <c r="K19" i="35"/>
  <c r="D19" i="35"/>
  <c r="C19" i="35"/>
  <c r="K16" i="35"/>
  <c r="D16" i="35"/>
  <c r="C16" i="35"/>
  <c r="K13" i="35"/>
  <c r="D13" i="35"/>
  <c r="C13" i="35"/>
  <c r="M430" i="35"/>
  <c r="M429" i="35"/>
  <c r="M428" i="35"/>
  <c r="M427" i="35"/>
  <c r="M426" i="35"/>
  <c r="M420" i="35"/>
  <c r="M419" i="35"/>
  <c r="M418" i="35"/>
  <c r="M417" i="35"/>
  <c r="E398" i="35"/>
  <c r="D398" i="35"/>
  <c r="E394" i="35"/>
  <c r="D394" i="35"/>
  <c r="E390" i="35"/>
  <c r="D390" i="35"/>
  <c r="E382" i="35"/>
  <c r="D382" i="35"/>
  <c r="D386" i="35"/>
  <c r="E386" i="35"/>
  <c r="M416" i="35"/>
  <c r="C424" i="35"/>
  <c r="H423" i="35"/>
  <c r="K422" i="35"/>
  <c r="C423" i="35"/>
  <c r="H422" i="35"/>
  <c r="C422" i="35"/>
  <c r="H413" i="35"/>
  <c r="K412" i="35"/>
  <c r="C413" i="35"/>
  <c r="C412" i="35"/>
  <c r="H412" i="35"/>
  <c r="H414" i="35" l="1"/>
  <c r="B251" i="35"/>
  <c r="A255" i="35" s="1"/>
  <c r="B255" i="35" l="1"/>
  <c r="B259" i="35" l="1"/>
  <c r="B263" i="35" s="1"/>
  <c r="B267" i="35" s="1"/>
  <c r="A259" i="35"/>
  <c r="G55" i="27"/>
  <c r="H55" i="27"/>
  <c r="G79" i="27"/>
  <c r="H79" i="27"/>
  <c r="G109" i="27"/>
  <c r="H109" i="27"/>
  <c r="G125" i="27"/>
  <c r="H125" i="27"/>
  <c r="F366" i="35"/>
  <c r="F362" i="35"/>
  <c r="F307" i="35"/>
  <c r="D354" i="35"/>
  <c r="D347" i="35"/>
  <c r="D340" i="35"/>
  <c r="D333" i="35"/>
  <c r="D326" i="35"/>
  <c r="D377" i="35"/>
  <c r="D373" i="35"/>
  <c r="D369" i="35"/>
  <c r="D365" i="35"/>
  <c r="D361" i="35"/>
  <c r="C377" i="35"/>
  <c r="I377" i="35" s="1"/>
  <c r="C373" i="35"/>
  <c r="I373" i="35" s="1"/>
  <c r="C369" i="35"/>
  <c r="I369" i="35" s="1"/>
  <c r="C365" i="35"/>
  <c r="I365" i="35" s="1"/>
  <c r="C361" i="35"/>
  <c r="I361" i="35" s="1"/>
  <c r="D322" i="35"/>
  <c r="D318" i="35"/>
  <c r="D314" i="35"/>
  <c r="D310" i="35"/>
  <c r="D306" i="35"/>
  <c r="C322" i="35"/>
  <c r="I322" i="35" s="1"/>
  <c r="C318" i="35"/>
  <c r="I318" i="35" s="1"/>
  <c r="C314" i="35"/>
  <c r="I314" i="35" s="1"/>
  <c r="C310" i="35"/>
  <c r="I310" i="35" s="1"/>
  <c r="C306" i="35"/>
  <c r="I306" i="35" s="1"/>
  <c r="N1" i="26"/>
  <c r="AF1" i="26" s="1"/>
  <c r="D299" i="35"/>
  <c r="D292" i="35"/>
  <c r="D285" i="35"/>
  <c r="D278" i="35"/>
  <c r="D271" i="35"/>
  <c r="D267" i="35"/>
  <c r="D263" i="35"/>
  <c r="D259" i="35"/>
  <c r="D255" i="35"/>
  <c r="D251" i="35"/>
  <c r="D3" i="35"/>
  <c r="A6" i="28"/>
  <c r="AD6" i="26"/>
  <c r="L6" i="26"/>
  <c r="D25" i="20"/>
  <c r="D24" i="20"/>
  <c r="C7" i="23"/>
  <c r="C7" i="18"/>
  <c r="C7" i="20"/>
  <c r="C7" i="21"/>
  <c r="C7" i="5"/>
  <c r="D25" i="22"/>
  <c r="D24" i="22"/>
  <c r="E21" i="1"/>
  <c r="M23" i="14"/>
  <c r="M22" i="14"/>
  <c r="M21" i="14"/>
  <c r="M20" i="14"/>
  <c r="N20" i="14" s="1"/>
  <c r="M19" i="14"/>
  <c r="N19" i="14" s="1"/>
  <c r="M18" i="14"/>
  <c r="N18" i="14" s="1"/>
  <c r="M17" i="14"/>
  <c r="M16" i="14"/>
  <c r="M15" i="14"/>
  <c r="M14" i="14"/>
  <c r="M13" i="14"/>
  <c r="D19" i="23"/>
  <c r="F399" i="35"/>
  <c r="C399" i="35"/>
  <c r="F398" i="35"/>
  <c r="C398" i="35"/>
  <c r="J397" i="35"/>
  <c r="F395" i="35"/>
  <c r="C395" i="35"/>
  <c r="F394" i="35"/>
  <c r="C394" i="35"/>
  <c r="J393" i="35"/>
  <c r="F391" i="35"/>
  <c r="C391" i="35"/>
  <c r="F390" i="35"/>
  <c r="C390" i="35"/>
  <c r="J389" i="35"/>
  <c r="F387" i="35"/>
  <c r="C387" i="35"/>
  <c r="F386" i="35"/>
  <c r="C386" i="35"/>
  <c r="J385" i="35"/>
  <c r="F382" i="35"/>
  <c r="C382" i="35"/>
  <c r="J381" i="35"/>
  <c r="G9" i="35"/>
  <c r="K369" i="35" l="1"/>
  <c r="G370" i="35"/>
  <c r="H371" i="35"/>
  <c r="G371" i="35"/>
  <c r="F371" i="35"/>
  <c r="E371" i="35"/>
  <c r="C371" i="35"/>
  <c r="F369" i="35"/>
  <c r="F375" i="35"/>
  <c r="G374" i="35"/>
  <c r="E375" i="35"/>
  <c r="C375" i="35"/>
  <c r="H375" i="35"/>
  <c r="K373" i="35"/>
  <c r="F373" i="35"/>
  <c r="G375" i="35"/>
  <c r="G378" i="35"/>
  <c r="H379" i="35"/>
  <c r="G379" i="35"/>
  <c r="F379" i="35"/>
  <c r="K377" i="35"/>
  <c r="E379" i="35"/>
  <c r="C379" i="35"/>
  <c r="F377" i="35"/>
  <c r="H363" i="35"/>
  <c r="F361" i="35"/>
  <c r="G363" i="35"/>
  <c r="F363" i="35"/>
  <c r="G362" i="35"/>
  <c r="E363" i="35"/>
  <c r="C363" i="35"/>
  <c r="K361" i="35"/>
  <c r="G3" i="35"/>
  <c r="C367" i="35"/>
  <c r="F365" i="35"/>
  <c r="G366" i="35"/>
  <c r="K365" i="35"/>
  <c r="H367" i="35"/>
  <c r="G367" i="35"/>
  <c r="F367" i="35"/>
  <c r="E367" i="35"/>
  <c r="A271" i="35"/>
  <c r="A263" i="35"/>
  <c r="A267" i="35"/>
  <c r="G315" i="35"/>
  <c r="F314" i="35"/>
  <c r="H316" i="35"/>
  <c r="G316" i="35"/>
  <c r="F316" i="35"/>
  <c r="E316" i="35"/>
  <c r="C316" i="35"/>
  <c r="K314" i="35"/>
  <c r="H320" i="35"/>
  <c r="G320" i="35"/>
  <c r="F320" i="35"/>
  <c r="E320" i="35"/>
  <c r="C320" i="35"/>
  <c r="K318" i="35"/>
  <c r="F318" i="35"/>
  <c r="G319" i="35"/>
  <c r="C324" i="35"/>
  <c r="K322" i="35"/>
  <c r="F322" i="35"/>
  <c r="H324" i="35"/>
  <c r="G324" i="35"/>
  <c r="G323" i="35"/>
  <c r="F324" i="35"/>
  <c r="E324" i="35"/>
  <c r="G307" i="35"/>
  <c r="H308" i="35"/>
  <c r="G308" i="35"/>
  <c r="F308" i="35"/>
  <c r="K306" i="35"/>
  <c r="E308" i="35"/>
  <c r="C308" i="35"/>
  <c r="F306" i="35"/>
  <c r="G312" i="35"/>
  <c r="G311" i="35"/>
  <c r="F312" i="35"/>
  <c r="E312" i="35"/>
  <c r="K310" i="35"/>
  <c r="C312" i="35"/>
  <c r="F310" i="35"/>
  <c r="H312" i="35"/>
  <c r="B271" i="35"/>
  <c r="N21" i="14"/>
  <c r="N22" i="14"/>
  <c r="N23" i="14"/>
  <c r="F383" i="35"/>
  <c r="C383" i="35"/>
  <c r="A278" i="35" l="1"/>
  <c r="B278" i="35"/>
  <c r="B285" i="35" s="1"/>
  <c r="N17" i="14"/>
  <c r="N14" i="14" s="1"/>
  <c r="N13" i="14" s="1"/>
  <c r="E209" i="35" l="1"/>
  <c r="E29" i="35"/>
  <c r="E206" i="35"/>
  <c r="E26" i="35"/>
  <c r="E203" i="35"/>
  <c r="E158" i="35"/>
  <c r="E155" i="35"/>
  <c r="E188" i="35"/>
  <c r="E152" i="35"/>
  <c r="E185" i="35"/>
  <c r="E149" i="35"/>
  <c r="E35" i="35"/>
  <c r="E218" i="35"/>
  <c r="E182" i="35"/>
  <c r="E146" i="35"/>
  <c r="E38" i="35"/>
  <c r="E212" i="35"/>
  <c r="E215" i="35"/>
  <c r="E179" i="35"/>
  <c r="E143" i="35"/>
  <c r="E32" i="35"/>
  <c r="A285" i="35"/>
  <c r="A292" i="35"/>
  <c r="B292" i="35"/>
  <c r="N16" i="14"/>
  <c r="N15" i="14" s="1"/>
  <c r="B299" i="35" l="1"/>
  <c r="A306" i="35" s="1"/>
  <c r="A299" i="35"/>
  <c r="AB19" i="34"/>
  <c r="I19" i="34"/>
  <c r="AB19" i="33"/>
  <c r="I19" i="33"/>
  <c r="Z19" i="26"/>
  <c r="H19" i="26"/>
  <c r="D37" i="38"/>
  <c r="D24" i="38"/>
  <c r="D23" i="38"/>
  <c r="D21" i="38"/>
  <c r="D19" i="38"/>
  <c r="D17" i="38"/>
  <c r="D44" i="37"/>
  <c r="D26" i="37"/>
  <c r="D24" i="37"/>
  <c r="D22" i="37"/>
  <c r="D20" i="37"/>
  <c r="B306" i="35" l="1"/>
  <c r="A310" i="35" s="1"/>
  <c r="C13" i="1"/>
  <c r="G13" i="1"/>
  <c r="J13" i="1"/>
  <c r="B310" i="35" l="1"/>
  <c r="B314" i="35" s="1"/>
  <c r="B318" i="35" s="1"/>
  <c r="B322" i="35" l="1"/>
  <c r="A326" i="35" s="1"/>
  <c r="A314" i="35"/>
  <c r="A318" i="35"/>
  <c r="A322" i="35"/>
  <c r="B326" i="35" l="1"/>
  <c r="A333" i="35" s="1"/>
  <c r="B333" i="35" l="1"/>
  <c r="B340" i="35" s="1"/>
  <c r="B347" i="35" s="1"/>
  <c r="J424" i="35"/>
  <c r="J414" i="35"/>
  <c r="L424" i="35"/>
  <c r="H424" i="35"/>
  <c r="E424" i="35"/>
  <c r="D424" i="35"/>
  <c r="L414" i="35"/>
  <c r="E414" i="35"/>
  <c r="D414" i="35"/>
  <c r="C414" i="35"/>
  <c r="C271" i="35"/>
  <c r="A340" i="35" l="1"/>
  <c r="A354" i="35"/>
  <c r="A347" i="35"/>
  <c r="B354" i="35"/>
  <c r="Q3" i="41"/>
  <c r="AJ3" i="41" s="1"/>
  <c r="A361" i="35" l="1"/>
  <c r="B361" i="35"/>
  <c r="A365" i="35" s="1"/>
  <c r="N77" i="14"/>
  <c r="N79" i="14"/>
  <c r="J81" i="14"/>
  <c r="M81" i="14" s="1"/>
  <c r="J80" i="14"/>
  <c r="M80" i="14" s="1"/>
  <c r="N69" i="14"/>
  <c r="I76" i="14"/>
  <c r="I75" i="14"/>
  <c r="I74" i="14"/>
  <c r="I73" i="14"/>
  <c r="I79" i="14"/>
  <c r="I78" i="14"/>
  <c r="I77" i="14"/>
  <c r="G79" i="14"/>
  <c r="G78" i="14"/>
  <c r="G77" i="14"/>
  <c r="G76" i="14"/>
  <c r="G75" i="14"/>
  <c r="G74" i="14"/>
  <c r="G73" i="14"/>
  <c r="G71" i="14"/>
  <c r="O80" i="14" l="1"/>
  <c r="O81" i="14"/>
  <c r="N70" i="14"/>
  <c r="N80" i="14"/>
  <c r="N81" i="14"/>
  <c r="B365" i="35"/>
  <c r="M78" i="14"/>
  <c r="M76" i="14"/>
  <c r="M75" i="14"/>
  <c r="M73" i="14"/>
  <c r="M74" i="14"/>
  <c r="I71" i="14"/>
  <c r="G72" i="14"/>
  <c r="C71" i="14"/>
  <c r="C72" i="14" s="1"/>
  <c r="C68" i="14"/>
  <c r="C67" i="14"/>
  <c r="C66" i="14"/>
  <c r="O76" i="14" l="1"/>
  <c r="O75" i="14"/>
  <c r="O74" i="14"/>
  <c r="O73" i="14"/>
  <c r="N74" i="14"/>
  <c r="N73" i="14"/>
  <c r="N78" i="14"/>
  <c r="N76" i="14"/>
  <c r="N75" i="14"/>
  <c r="A369" i="35"/>
  <c r="B369" i="35"/>
  <c r="B373" i="35" s="1"/>
  <c r="I72" i="14"/>
  <c r="I68" i="14"/>
  <c r="I67" i="14"/>
  <c r="I66" i="14"/>
  <c r="G68" i="14"/>
  <c r="G67" i="14"/>
  <c r="G66" i="14"/>
  <c r="A377" i="35" l="1"/>
  <c r="A373" i="35"/>
  <c r="B377" i="35"/>
  <c r="H67" i="14"/>
  <c r="H66" i="14"/>
  <c r="E67" i="14"/>
  <c r="E66" i="14"/>
  <c r="H71" i="14"/>
  <c r="H72" i="14" s="1"/>
  <c r="H68" i="14"/>
  <c r="E71" i="14"/>
  <c r="E68" i="14"/>
  <c r="E35" i="21"/>
  <c r="E35" i="5"/>
  <c r="M66" i="14" l="1"/>
  <c r="M68" i="14"/>
  <c r="M67" i="14"/>
  <c r="M71" i="14"/>
  <c r="E72" i="14"/>
  <c r="M72" i="14" s="1"/>
  <c r="A16" i="28"/>
  <c r="B15" i="36" s="1"/>
  <c r="J15" i="36" s="1"/>
  <c r="D31" i="21"/>
  <c r="I105" i="27" s="1"/>
  <c r="D30" i="21"/>
  <c r="I104" i="27" s="1"/>
  <c r="D29" i="21"/>
  <c r="I103" i="27" s="1"/>
  <c r="D31" i="5"/>
  <c r="I51" i="27" s="1"/>
  <c r="D30" i="5"/>
  <c r="I50" i="27" s="1"/>
  <c r="D29" i="5"/>
  <c r="I49" i="27" s="1"/>
  <c r="C25" i="1"/>
  <c r="C25" i="22"/>
  <c r="C25" i="20"/>
  <c r="D23" i="21"/>
  <c r="D34" i="21"/>
  <c r="I108" i="27" s="1"/>
  <c r="D33" i="21"/>
  <c r="I107" i="27" s="1"/>
  <c r="D32" i="21"/>
  <c r="I106" i="27" s="1"/>
  <c r="D28" i="21"/>
  <c r="I102" i="27" s="1"/>
  <c r="D27" i="21"/>
  <c r="I101" i="27" s="1"/>
  <c r="D26" i="21"/>
  <c r="I100" i="27" s="1"/>
  <c r="D25" i="21"/>
  <c r="I99" i="27" s="1"/>
  <c r="D24" i="21"/>
  <c r="I98" i="27" s="1"/>
  <c r="D25" i="5"/>
  <c r="I45" i="27" s="1"/>
  <c r="D24" i="5"/>
  <c r="I44" i="27" s="1"/>
  <c r="D34" i="5"/>
  <c r="I54" i="27" s="1"/>
  <c r="J96" i="35" l="1"/>
  <c r="J90" i="35"/>
  <c r="J87" i="35"/>
  <c r="J84" i="35"/>
  <c r="L85" i="35" s="1"/>
  <c r="J81" i="35"/>
  <c r="J93" i="35"/>
  <c r="L94" i="35" s="1"/>
  <c r="J168" i="35"/>
  <c r="L169" i="35" s="1"/>
  <c r="J135" i="35"/>
  <c r="J51" i="35"/>
  <c r="L52" i="35" s="1"/>
  <c r="J165" i="35"/>
  <c r="L166" i="35" s="1"/>
  <c r="J75" i="35"/>
  <c r="L76" i="35" s="1"/>
  <c r="J48" i="35"/>
  <c r="L49" i="35" s="1"/>
  <c r="J162" i="35"/>
  <c r="L163" i="35" s="1"/>
  <c r="J225" i="35"/>
  <c r="L226" i="35" s="1"/>
  <c r="J45" i="35"/>
  <c r="L46" i="35" s="1"/>
  <c r="J138" i="35"/>
  <c r="J198" i="35"/>
  <c r="J222" i="35"/>
  <c r="L223" i="35" s="1"/>
  <c r="J39" i="35"/>
  <c r="L40" i="35" s="1"/>
  <c r="J69" i="35"/>
  <c r="L70" i="35" s="1"/>
  <c r="J195" i="35"/>
  <c r="J102" i="35"/>
  <c r="L103" i="35" s="1"/>
  <c r="J132" i="35"/>
  <c r="J78" i="35"/>
  <c r="L79" i="35" s="1"/>
  <c r="J99" i="35"/>
  <c r="L100" i="35" s="1"/>
  <c r="J192" i="35"/>
  <c r="L193" i="35" s="1"/>
  <c r="J42" i="35"/>
  <c r="L43" i="35" s="1"/>
  <c r="J228" i="35"/>
  <c r="L229" i="35" s="1"/>
  <c r="J159" i="35"/>
  <c r="L160" i="35" s="1"/>
  <c r="J108" i="35"/>
  <c r="L109" i="35" s="1"/>
  <c r="J129" i="35"/>
  <c r="L130" i="35" s="1"/>
  <c r="J72" i="35"/>
  <c r="L73" i="35" s="1"/>
  <c r="J105" i="35"/>
  <c r="L106" i="35" s="1"/>
  <c r="J219" i="35"/>
  <c r="J18" i="35"/>
  <c r="J12" i="35"/>
  <c r="J15" i="35"/>
  <c r="J9" i="35"/>
  <c r="L10" i="35" s="1"/>
  <c r="L91" i="35"/>
  <c r="L88" i="35"/>
  <c r="L97" i="35"/>
  <c r="L82" i="35"/>
  <c r="L190" i="35"/>
  <c r="O68" i="14"/>
  <c r="M84" i="14"/>
  <c r="M85" i="14"/>
  <c r="M83" i="14"/>
  <c r="O72" i="14"/>
  <c r="O71" i="14"/>
  <c r="O66" i="14"/>
  <c r="O67" i="14"/>
  <c r="N71" i="14"/>
  <c r="N67" i="14"/>
  <c r="N72" i="14"/>
  <c r="N68" i="14"/>
  <c r="N66" i="14"/>
  <c r="J31" i="36"/>
  <c r="B47" i="36"/>
  <c r="J47" i="36"/>
  <c r="B31" i="36"/>
  <c r="L199" i="35" l="1"/>
  <c r="E200" i="35"/>
  <c r="L139" i="35"/>
  <c r="E140" i="35"/>
  <c r="L133" i="35"/>
  <c r="E134" i="35"/>
  <c r="L220" i="35"/>
  <c r="E221" i="35"/>
  <c r="L196" i="35"/>
  <c r="E197" i="35"/>
  <c r="L136" i="35"/>
  <c r="E137" i="35"/>
  <c r="L13" i="35"/>
  <c r="E14" i="35"/>
  <c r="L16" i="35"/>
  <c r="E17" i="35"/>
  <c r="L22" i="35"/>
  <c r="E23" i="35"/>
  <c r="L19" i="35"/>
  <c r="E20" i="35"/>
  <c r="E95" i="35"/>
  <c r="E98" i="35"/>
  <c r="E89" i="35"/>
  <c r="E92" i="35"/>
  <c r="O84" i="14"/>
  <c r="N85" i="14"/>
  <c r="N84" i="14"/>
  <c r="N83" i="14"/>
  <c r="M86" i="14"/>
  <c r="P16" i="26" s="1"/>
  <c r="O83" i="14"/>
  <c r="O34" i="14"/>
  <c r="O78" i="14"/>
  <c r="D33" i="5"/>
  <c r="I53" i="27" s="1"/>
  <c r="D32" i="5"/>
  <c r="I52" i="27" s="1"/>
  <c r="D28" i="5"/>
  <c r="I48" i="27" s="1"/>
  <c r="D27" i="5"/>
  <c r="I47" i="27" s="1"/>
  <c r="D26" i="5"/>
  <c r="I46" i="27" s="1"/>
  <c r="E27" i="23"/>
  <c r="E15" i="18"/>
  <c r="E29" i="1"/>
  <c r="E29" i="22"/>
  <c r="E29" i="20"/>
  <c r="E15" i="19"/>
  <c r="E37" i="21"/>
  <c r="E37" i="5"/>
  <c r="N86" i="14" l="1"/>
  <c r="P17" i="26" s="1"/>
  <c r="AH17" i="26" s="1"/>
  <c r="L86" i="14"/>
  <c r="P14" i="26" s="1"/>
  <c r="AH16" i="26"/>
  <c r="Q16" i="41"/>
  <c r="AJ16" i="41" s="1"/>
  <c r="Q18" i="41" l="1"/>
  <c r="AJ18" i="41" s="1"/>
  <c r="C29" i="5"/>
  <c r="C29" i="21"/>
  <c r="C24" i="21"/>
  <c r="C24" i="5"/>
  <c r="G22" i="21"/>
  <c r="G35" i="5"/>
  <c r="G35" i="21"/>
  <c r="C23" i="21"/>
  <c r="J99" i="27"/>
  <c r="J100" i="27"/>
  <c r="J101" i="27"/>
  <c r="J102" i="27"/>
  <c r="J103" i="27"/>
  <c r="J104" i="27"/>
  <c r="J105" i="27"/>
  <c r="J106" i="27"/>
  <c r="J107" i="27"/>
  <c r="J108" i="27"/>
  <c r="C75" i="37" l="1"/>
  <c r="C77" i="37"/>
  <c r="AH14" i="26"/>
  <c r="Q14" i="41"/>
  <c r="AJ14" i="41" s="1"/>
  <c r="G33" i="21"/>
  <c r="L107" i="27" s="1"/>
  <c r="G32" i="21"/>
  <c r="L106" i="27" s="1"/>
  <c r="G34" i="5"/>
  <c r="G33" i="5"/>
  <c r="F35" i="21"/>
  <c r="F35" i="5"/>
  <c r="C15" i="23"/>
  <c r="D21" i="22"/>
  <c r="I119" i="27" s="1"/>
  <c r="D21" i="20"/>
  <c r="I73" i="27" s="1"/>
  <c r="D20" i="23"/>
  <c r="D18" i="23"/>
  <c r="C21" i="22"/>
  <c r="C21" i="21"/>
  <c r="B36" i="21"/>
  <c r="C64" i="38" l="1"/>
  <c r="G34" i="21"/>
  <c r="L108" i="27" s="1"/>
  <c r="D108" i="27" s="1"/>
  <c r="C67" i="38"/>
  <c r="G32" i="5"/>
  <c r="L52" i="27" s="1"/>
  <c r="C76" i="37"/>
  <c r="C66" i="38"/>
  <c r="C65" i="38"/>
  <c r="D106" i="27"/>
  <c r="D107" i="27"/>
  <c r="C62" i="38"/>
  <c r="C73" i="37"/>
  <c r="C63" i="38"/>
  <c r="G31" i="5"/>
  <c r="L51" i="27" s="1"/>
  <c r="L53" i="27"/>
  <c r="L54" i="27"/>
  <c r="G30" i="21"/>
  <c r="L104" i="27" s="1"/>
  <c r="G30" i="5"/>
  <c r="G29" i="21"/>
  <c r="L103" i="27" s="1"/>
  <c r="G31" i="21"/>
  <c r="L105" i="27" s="1"/>
  <c r="C21" i="5"/>
  <c r="B36" i="5"/>
  <c r="G106" i="27" l="1"/>
  <c r="G107" i="27"/>
  <c r="H108" i="27"/>
  <c r="C74" i="37"/>
  <c r="C106" i="27"/>
  <c r="M106" i="27" s="1"/>
  <c r="C107" i="27"/>
  <c r="M107" i="27" s="1"/>
  <c r="C108" i="27"/>
  <c r="M108" i="27" s="1"/>
  <c r="G29" i="5"/>
  <c r="L49" i="27" s="1"/>
  <c r="D53" i="27"/>
  <c r="D51" i="27"/>
  <c r="D54" i="27"/>
  <c r="G108" i="27"/>
  <c r="H106" i="27"/>
  <c r="H107" i="27"/>
  <c r="D105" i="27"/>
  <c r="D103" i="27"/>
  <c r="D104" i="27"/>
  <c r="C72" i="37"/>
  <c r="L50" i="27"/>
  <c r="G104" i="27" l="1"/>
  <c r="G53" i="27"/>
  <c r="G103" i="27"/>
  <c r="H105" i="27"/>
  <c r="H54" i="27"/>
  <c r="G51" i="27"/>
  <c r="C103" i="27"/>
  <c r="M103" i="27" s="1"/>
  <c r="C104" i="27"/>
  <c r="M104" i="27" s="1"/>
  <c r="C105" i="27"/>
  <c r="M105" i="27" s="1"/>
  <c r="C51" i="27"/>
  <c r="M51" i="27" s="1"/>
  <c r="D52" i="27"/>
  <c r="C53" i="27"/>
  <c r="M53" i="27" s="1"/>
  <c r="C54" i="27"/>
  <c r="M54" i="27" s="1"/>
  <c r="H53" i="27"/>
  <c r="H51" i="27"/>
  <c r="G54" i="27"/>
  <c r="D49" i="27"/>
  <c r="D50" i="27"/>
  <c r="G105" i="27"/>
  <c r="H103" i="27"/>
  <c r="H104" i="27"/>
  <c r="G50" i="27" l="1"/>
  <c r="G52" i="27"/>
  <c r="H49" i="27"/>
  <c r="H52" i="27"/>
  <c r="C52" i="27"/>
  <c r="M52" i="27" s="1"/>
  <c r="C50" i="27"/>
  <c r="M50" i="27" s="1"/>
  <c r="C49" i="27"/>
  <c r="M49" i="27" s="1"/>
  <c r="G49" i="27"/>
  <c r="H50" i="27"/>
  <c r="D23" i="5" l="1"/>
  <c r="A14" i="5"/>
  <c r="G28" i="21" l="1"/>
  <c r="L102" i="27" s="1"/>
  <c r="C61" i="38"/>
  <c r="C71" i="37"/>
  <c r="G28" i="5"/>
  <c r="C16" i="1"/>
  <c r="C16" i="22"/>
  <c r="C16" i="5"/>
  <c r="C16" i="21"/>
  <c r="C16" i="20"/>
  <c r="C15" i="1"/>
  <c r="C15" i="22"/>
  <c r="C15" i="21"/>
  <c r="C15" i="5"/>
  <c r="C15" i="20"/>
  <c r="D26" i="20"/>
  <c r="I82" i="27" s="1"/>
  <c r="D26" i="22"/>
  <c r="I128" i="27" s="1"/>
  <c r="D102" i="27" l="1"/>
  <c r="E194" i="35"/>
  <c r="D16" i="5"/>
  <c r="D16" i="21"/>
  <c r="E86" i="35"/>
  <c r="E191" i="35"/>
  <c r="E83" i="35"/>
  <c r="E77" i="35"/>
  <c r="E80" i="35"/>
  <c r="E74" i="35"/>
  <c r="E71" i="35"/>
  <c r="E131" i="35"/>
  <c r="L48" i="27"/>
  <c r="D15" i="22"/>
  <c r="D15" i="21"/>
  <c r="D15" i="5"/>
  <c r="D15" i="1"/>
  <c r="D15" i="20"/>
  <c r="C102" i="27" l="1"/>
  <c r="M102" i="27" s="1"/>
  <c r="H102" i="27"/>
  <c r="G102" i="27"/>
  <c r="E164" i="35"/>
  <c r="E167" i="35"/>
  <c r="E170" i="35"/>
  <c r="E173" i="35"/>
  <c r="E176" i="35"/>
  <c r="E161" i="35"/>
  <c r="E11" i="35"/>
  <c r="D48" i="27"/>
  <c r="J13" i="22"/>
  <c r="J13" i="20"/>
  <c r="J13" i="21"/>
  <c r="J13" i="18"/>
  <c r="J13" i="19"/>
  <c r="C48" i="27" l="1"/>
  <c r="M48" i="27" s="1"/>
  <c r="G48" i="27"/>
  <c r="H48" i="27"/>
  <c r="J13" i="5"/>
  <c r="C11" i="5" l="1"/>
  <c r="J11" i="5"/>
  <c r="D27" i="37"/>
  <c r="F5" i="19" l="1"/>
  <c r="F5" i="23"/>
  <c r="F5" i="18"/>
  <c r="F5" i="1"/>
  <c r="F5" i="22"/>
  <c r="F5" i="20"/>
  <c r="F5" i="21"/>
  <c r="F5" i="5"/>
  <c r="C354" i="35"/>
  <c r="C347" i="35"/>
  <c r="C340" i="35"/>
  <c r="C299" i="35"/>
  <c r="C292" i="35"/>
  <c r="C285" i="35"/>
  <c r="C267" i="35"/>
  <c r="C263" i="35"/>
  <c r="C259" i="35"/>
  <c r="G246" i="35" l="1"/>
  <c r="G243" i="35"/>
  <c r="G240" i="35"/>
  <c r="G237" i="35"/>
  <c r="G234" i="35"/>
  <c r="G231" i="35"/>
  <c r="G228" i="35"/>
  <c r="G225" i="35"/>
  <c r="G222" i="35"/>
  <c r="G186" i="35"/>
  <c r="G183" i="35"/>
  <c r="G180" i="35"/>
  <c r="G177" i="35"/>
  <c r="G174" i="35"/>
  <c r="G171" i="35"/>
  <c r="G168" i="35"/>
  <c r="G165" i="35"/>
  <c r="G162" i="35"/>
  <c r="G156" i="35"/>
  <c r="G153" i="35"/>
  <c r="G150" i="35"/>
  <c r="G147" i="35"/>
  <c r="G144" i="35"/>
  <c r="G141" i="35"/>
  <c r="G138" i="35"/>
  <c r="G135" i="35"/>
  <c r="G132" i="35"/>
  <c r="G126" i="35"/>
  <c r="G123" i="35"/>
  <c r="G120" i="35"/>
  <c r="G117" i="35"/>
  <c r="G114" i="35"/>
  <c r="G111" i="35"/>
  <c r="G108" i="35"/>
  <c r="G105" i="35"/>
  <c r="G102" i="35"/>
  <c r="G96" i="35"/>
  <c r="G93" i="35"/>
  <c r="G90" i="35"/>
  <c r="G87" i="35"/>
  <c r="G84" i="35"/>
  <c r="G81" i="35"/>
  <c r="G78" i="35"/>
  <c r="G75" i="35"/>
  <c r="G72" i="35"/>
  <c r="G66" i="35"/>
  <c r="G63" i="35"/>
  <c r="G60" i="35"/>
  <c r="G57" i="35"/>
  <c r="G54" i="35"/>
  <c r="G51" i="35"/>
  <c r="G48" i="35"/>
  <c r="G45" i="35"/>
  <c r="G42" i="35"/>
  <c r="G36" i="35"/>
  <c r="G33" i="35"/>
  <c r="G30" i="35"/>
  <c r="G27" i="35"/>
  <c r="G24" i="35"/>
  <c r="G21" i="35"/>
  <c r="G18" i="35"/>
  <c r="G15" i="35"/>
  <c r="G12" i="35"/>
  <c r="G219" i="35" l="1"/>
  <c r="G159" i="35"/>
  <c r="G129" i="35"/>
  <c r="G99" i="35"/>
  <c r="G39" i="35"/>
  <c r="G69" i="35"/>
  <c r="AH2" i="26"/>
  <c r="C14" i="1" l="1"/>
  <c r="C14" i="22"/>
  <c r="C14" i="20"/>
  <c r="C14" i="21"/>
  <c r="C14" i="23"/>
  <c r="C13" i="22"/>
  <c r="C13" i="20"/>
  <c r="C13" i="21"/>
  <c r="C22" i="1"/>
  <c r="C23" i="22"/>
  <c r="C23" i="20"/>
  <c r="C22" i="21"/>
  <c r="C11" i="19"/>
  <c r="C11" i="21"/>
  <c r="C11" i="20"/>
  <c r="C11" i="22"/>
  <c r="C11" i="1"/>
  <c r="C11" i="18"/>
  <c r="C12" i="23"/>
  <c r="C7" i="1"/>
  <c r="C5" i="21"/>
  <c r="C5" i="20"/>
  <c r="C5" i="22"/>
  <c r="C5" i="1"/>
  <c r="C5" i="18"/>
  <c r="C5" i="23"/>
  <c r="C5" i="19"/>
  <c r="C5" i="5"/>
  <c r="G4" i="21"/>
  <c r="G4" i="19"/>
  <c r="G13" i="21"/>
  <c r="G13" i="20"/>
  <c r="G13" i="22"/>
  <c r="G4" i="20"/>
  <c r="G4" i="22"/>
  <c r="G4" i="1"/>
  <c r="G4" i="18"/>
  <c r="G4" i="23"/>
  <c r="G4" i="5"/>
  <c r="B1" i="23"/>
  <c r="B1" i="18"/>
  <c r="B1" i="1"/>
  <c r="B1" i="22"/>
  <c r="B1" i="20"/>
  <c r="B1" i="21"/>
  <c r="B1" i="19"/>
  <c r="G22" i="5"/>
  <c r="B1" i="5"/>
  <c r="C4" i="23"/>
  <c r="C4" i="18"/>
  <c r="C4" i="1"/>
  <c r="C4" i="22"/>
  <c r="C4" i="20"/>
  <c r="C4" i="21"/>
  <c r="C4" i="19"/>
  <c r="C4" i="5"/>
  <c r="C22" i="5"/>
  <c r="C13" i="5"/>
  <c r="C14" i="5"/>
  <c r="D135" i="27"/>
  <c r="D134" i="27"/>
  <c r="D88" i="27"/>
  <c r="D69" i="27"/>
  <c r="D60" i="27"/>
  <c r="D34" i="27"/>
  <c r="D25" i="27"/>
  <c r="D7" i="27"/>
  <c r="G134" i="27" l="1"/>
  <c r="H134" i="27"/>
  <c r="G135" i="27"/>
  <c r="H135" i="27"/>
  <c r="G69" i="27"/>
  <c r="H69" i="27"/>
  <c r="G60" i="27"/>
  <c r="H60" i="27"/>
  <c r="G34" i="27"/>
  <c r="H34" i="27"/>
  <c r="G25" i="27"/>
  <c r="H25" i="27"/>
  <c r="G7" i="27"/>
  <c r="H7" i="27"/>
  <c r="G88" i="27"/>
  <c r="H88" i="27"/>
  <c r="C180" i="14" l="1"/>
  <c r="G16" i="23" l="1"/>
  <c r="G15" i="1"/>
  <c r="G15" i="22"/>
  <c r="G15" i="20"/>
  <c r="G15" i="21"/>
  <c r="G15" i="5"/>
  <c r="I1" i="23"/>
  <c r="I1" i="18"/>
  <c r="I1" i="1"/>
  <c r="I1" i="22"/>
  <c r="I1" i="20"/>
  <c r="I1" i="21"/>
  <c r="I1" i="19"/>
  <c r="I1" i="5"/>
  <c r="J13" i="23"/>
  <c r="J11" i="23"/>
  <c r="J11" i="18"/>
  <c r="J11" i="1"/>
  <c r="J11" i="22"/>
  <c r="J11" i="20"/>
  <c r="J11" i="21"/>
  <c r="J11" i="19"/>
  <c r="D15" i="23" l="1"/>
  <c r="D14" i="1"/>
  <c r="D14" i="22"/>
  <c r="D14" i="20"/>
  <c r="D14" i="21"/>
  <c r="D14" i="5"/>
  <c r="B420" i="27" l="1"/>
  <c r="H420" i="27"/>
  <c r="H415" i="27"/>
  <c r="Q3" i="34" l="1"/>
  <c r="AF7" i="34"/>
  <c r="M7" i="34"/>
  <c r="AF7" i="33"/>
  <c r="M7" i="33"/>
  <c r="J19" i="26"/>
  <c r="K19" i="41" s="1"/>
  <c r="AD19" i="41" s="1"/>
  <c r="Q7" i="34" l="1"/>
  <c r="AJ7" i="34" s="1"/>
  <c r="M14" i="36"/>
  <c r="M30" i="36"/>
  <c r="M46" i="36"/>
  <c r="E14" i="36"/>
  <c r="E46" i="36"/>
  <c r="E30" i="36"/>
  <c r="AJ7" i="33"/>
  <c r="B17" i="34" l="1"/>
  <c r="B17" i="33"/>
  <c r="K19" i="33"/>
  <c r="E31" i="36" l="1"/>
  <c r="M15" i="36"/>
  <c r="E15" i="36"/>
  <c r="M47" i="36"/>
  <c r="M31" i="36"/>
  <c r="E47" i="36"/>
  <c r="P146" i="14" l="1"/>
  <c r="N146" i="14"/>
  <c r="P145" i="14"/>
  <c r="O145" i="14"/>
  <c r="N145" i="14"/>
  <c r="P144" i="14"/>
  <c r="O144" i="14"/>
  <c r="N144" i="14"/>
  <c r="P148" i="14"/>
  <c r="P147" i="14"/>
  <c r="O146" i="14"/>
  <c r="O147" i="14"/>
  <c r="N147" i="14"/>
  <c r="A10" i="23" l="1"/>
  <c r="A10" i="22"/>
  <c r="A10" i="21"/>
  <c r="A10" i="20"/>
  <c r="A10" i="19"/>
  <c r="A10" i="5"/>
  <c r="A10" i="18"/>
  <c r="A5" i="5" l="1"/>
  <c r="A5" i="19"/>
  <c r="A5" i="20"/>
  <c r="A5" i="21"/>
  <c r="A5" i="22"/>
  <c r="A5" i="23"/>
  <c r="A5" i="18"/>
  <c r="A5" i="1"/>
  <c r="A10" i="1"/>
  <c r="C7" i="22"/>
  <c r="C23" i="5"/>
  <c r="C19" i="23"/>
  <c r="A3" i="28"/>
  <c r="G15" i="28" l="1"/>
  <c r="Q15" i="28" s="1"/>
  <c r="G14" i="28"/>
  <c r="Q14" i="28" s="1"/>
  <c r="A15" i="28"/>
  <c r="A14" i="28"/>
  <c r="A13" i="28"/>
  <c r="A12" i="28"/>
  <c r="A11" i="28"/>
  <c r="A10" i="28"/>
  <c r="G9" i="28"/>
  <c r="C9" i="28"/>
  <c r="L8" i="28"/>
  <c r="B8" i="28"/>
  <c r="A9" i="28"/>
  <c r="P5" i="26"/>
  <c r="AE62" i="26"/>
  <c r="AG62" i="33"/>
  <c r="P56" i="33"/>
  <c r="O56" i="26"/>
  <c r="AK21" i="33"/>
  <c r="R21" i="33"/>
  <c r="Q21" i="26"/>
  <c r="AJ21" i="33"/>
  <c r="Q21" i="33"/>
  <c r="AH21" i="33"/>
  <c r="O21" i="33"/>
  <c r="N21" i="26"/>
  <c r="N18" i="33"/>
  <c r="N17" i="33"/>
  <c r="N16" i="33"/>
  <c r="N14" i="33"/>
  <c r="AF21" i="26"/>
  <c r="AI21" i="26"/>
  <c r="AH21" i="26"/>
  <c r="P21" i="26"/>
  <c r="M17" i="26"/>
  <c r="M16" i="26"/>
  <c r="M14" i="26"/>
  <c r="N12" i="33"/>
  <c r="M12" i="26"/>
  <c r="W21" i="33"/>
  <c r="D21" i="33"/>
  <c r="V21" i="33"/>
  <c r="C21" i="33"/>
  <c r="U21" i="26"/>
  <c r="C21" i="26"/>
  <c r="AB18" i="33"/>
  <c r="U18" i="33"/>
  <c r="I18" i="33"/>
  <c r="B18" i="33"/>
  <c r="Z18" i="26"/>
  <c r="T18" i="26"/>
  <c r="H18" i="26"/>
  <c r="B18" i="26"/>
  <c r="AD3" i="26"/>
  <c r="N9" i="33"/>
  <c r="AG9" i="33" s="1"/>
  <c r="I9" i="33"/>
  <c r="AB9" i="33" s="1"/>
  <c r="B9" i="33"/>
  <c r="U9" i="33" s="1"/>
  <c r="M9" i="26"/>
  <c r="AE9" i="26" s="1"/>
  <c r="AJ4" i="33"/>
  <c r="Z9" i="26"/>
  <c r="B9" i="26"/>
  <c r="T9" i="26" s="1"/>
  <c r="P1" i="33"/>
  <c r="AD5" i="26"/>
  <c r="L5" i="26"/>
  <c r="AD4" i="26"/>
  <c r="AG64" i="33"/>
  <c r="N64" i="33"/>
  <c r="AE64" i="26"/>
  <c r="M64" i="26"/>
  <c r="L4" i="26"/>
  <c r="L3" i="26"/>
  <c r="J4" i="33"/>
  <c r="AC4" i="33"/>
  <c r="AA4" i="26"/>
  <c r="AC3" i="33"/>
  <c r="J3" i="33"/>
  <c r="AA3" i="26"/>
  <c r="I4" i="26"/>
  <c r="I3" i="26"/>
  <c r="Q6" i="41" l="1"/>
  <c r="AJ6" i="41" s="1"/>
  <c r="Q5" i="33"/>
  <c r="I135" i="27" l="1"/>
  <c r="I134" i="27"/>
  <c r="I88" i="27"/>
  <c r="I69" i="27"/>
  <c r="I60" i="27"/>
  <c r="I34" i="27"/>
  <c r="I25" i="27"/>
  <c r="D27" i="1"/>
  <c r="D26" i="1"/>
  <c r="D24" i="1"/>
  <c r="D25" i="1"/>
  <c r="D23" i="1"/>
  <c r="D22" i="22"/>
  <c r="D22" i="20"/>
  <c r="D21" i="1"/>
  <c r="E22" i="22"/>
  <c r="I118" i="27" s="1"/>
  <c r="E22" i="20"/>
  <c r="I72" i="27" s="1"/>
  <c r="I91" i="27"/>
  <c r="I37" i="27"/>
  <c r="I10" i="27"/>
  <c r="I7" i="27"/>
  <c r="E248" i="35" l="1"/>
  <c r="E245" i="35"/>
  <c r="E242" i="35"/>
  <c r="E239" i="35"/>
  <c r="E236" i="35"/>
  <c r="E233" i="35"/>
  <c r="E230" i="35"/>
  <c r="E227" i="35"/>
  <c r="E224" i="35"/>
  <c r="E128" i="35"/>
  <c r="E125" i="35"/>
  <c r="E122" i="35"/>
  <c r="E119" i="35"/>
  <c r="E116" i="35"/>
  <c r="E113" i="35"/>
  <c r="E110" i="35"/>
  <c r="E107" i="35"/>
  <c r="E104" i="35"/>
  <c r="E101" i="35"/>
  <c r="E68" i="35"/>
  <c r="E65" i="35"/>
  <c r="E62" i="35"/>
  <c r="E59" i="35"/>
  <c r="E56" i="35"/>
  <c r="E53" i="35"/>
  <c r="E50" i="35"/>
  <c r="E47" i="35"/>
  <c r="E44" i="35"/>
  <c r="E41" i="35"/>
  <c r="X22" i="33" l="1"/>
  <c r="M151" i="14" l="1"/>
  <c r="M150" i="14"/>
  <c r="M149" i="14"/>
  <c r="M148" i="14"/>
  <c r="M147" i="14"/>
  <c r="M146" i="14"/>
  <c r="M145" i="14"/>
  <c r="K164" i="14"/>
  <c r="K163" i="14"/>
  <c r="K162" i="14"/>
  <c r="K161" i="14"/>
  <c r="K160" i="14"/>
  <c r="K159" i="14"/>
  <c r="K158" i="14"/>
  <c r="K157" i="14"/>
  <c r="K156" i="14"/>
  <c r="K155" i="14"/>
  <c r="K154" i="14"/>
  <c r="K153" i="14"/>
  <c r="K152" i="14"/>
  <c r="K151" i="14"/>
  <c r="K150" i="14"/>
  <c r="K149" i="14"/>
  <c r="K148" i="14"/>
  <c r="K147" i="14"/>
  <c r="K146" i="14"/>
  <c r="K145" i="14"/>
  <c r="J7" i="35"/>
  <c r="H7" i="35"/>
  <c r="C278" i="35"/>
  <c r="C255" i="35"/>
  <c r="H11" i="18" l="1"/>
  <c r="H11" i="22"/>
  <c r="I112" i="27"/>
  <c r="I20" i="27" l="1"/>
  <c r="I19" i="27"/>
  <c r="D7" i="35"/>
  <c r="C24" i="37" l="1"/>
  <c r="C21" i="38"/>
  <c r="G27" i="1"/>
  <c r="L20" i="27" s="1"/>
  <c r="D20" i="27" l="1"/>
  <c r="C20" i="27" s="1"/>
  <c r="M20" i="27" s="1"/>
  <c r="C333" i="35"/>
  <c r="C326" i="35"/>
  <c r="C251" i="35"/>
  <c r="H20" i="27" l="1"/>
  <c r="G20" i="27"/>
  <c r="B381" i="35"/>
  <c r="A385" i="35" s="1"/>
  <c r="B385" i="35" l="1"/>
  <c r="A389" i="35" l="1"/>
  <c r="B389" i="35"/>
  <c r="B393" i="35" s="1"/>
  <c r="B397" i="35" s="1"/>
  <c r="A393" i="35" l="1"/>
  <c r="A397" i="35"/>
  <c r="X22" i="34"/>
  <c r="E22" i="33"/>
  <c r="E22" i="34"/>
  <c r="K19" i="34" l="1"/>
  <c r="AD19" i="34" s="1"/>
  <c r="AG64" i="26"/>
  <c r="Q18" i="34"/>
  <c r="AJ18" i="34" s="1"/>
  <c r="Q16" i="34"/>
  <c r="AJ16" i="34" s="1"/>
  <c r="Q15" i="34"/>
  <c r="Q14" i="34"/>
  <c r="Q13" i="34"/>
  <c r="Q12" i="34"/>
  <c r="AJ12" i="34" s="1"/>
  <c r="AJ17" i="33"/>
  <c r="Q13" i="33"/>
  <c r="AJ13" i="33" s="1"/>
  <c r="Q14" i="33"/>
  <c r="AJ14" i="33" s="1"/>
  <c r="Q16" i="33"/>
  <c r="AJ16" i="33" s="1"/>
  <c r="Q18" i="33"/>
  <c r="AJ18" i="33" s="1"/>
  <c r="Q12" i="33"/>
  <c r="AJ12" i="33" s="1"/>
  <c r="C18" i="26"/>
  <c r="AB19" i="26"/>
  <c r="AD19" i="33" l="1"/>
  <c r="Q6" i="34"/>
  <c r="P64" i="33"/>
  <c r="AI64" i="33" s="1"/>
  <c r="P64" i="34"/>
  <c r="AI64" i="34" s="1"/>
  <c r="V19" i="26"/>
  <c r="AH7" i="26"/>
  <c r="I12" i="41" l="1"/>
  <c r="AB12" i="41" s="1"/>
  <c r="I13" i="41"/>
  <c r="AB13" i="41" s="1"/>
  <c r="I14" i="41"/>
  <c r="AB14" i="41" s="1"/>
  <c r="AB15" i="41"/>
  <c r="I16" i="41"/>
  <c r="AB16" i="41" s="1"/>
  <c r="J18" i="41"/>
  <c r="AC18" i="41" s="1"/>
  <c r="I17" i="41" l="1"/>
  <c r="AB17" i="41" s="1"/>
  <c r="C64" i="14"/>
  <c r="J65" i="14"/>
  <c r="I65" i="14"/>
  <c r="H65" i="14"/>
  <c r="G65" i="14"/>
  <c r="F65" i="14"/>
  <c r="E65" i="14"/>
  <c r="C65" i="14"/>
  <c r="D65" i="14"/>
  <c r="J64" i="14"/>
  <c r="I64" i="14"/>
  <c r="H64" i="14"/>
  <c r="G64" i="14"/>
  <c r="F64" i="14"/>
  <c r="E64" i="14"/>
  <c r="D64" i="14"/>
  <c r="C127" i="14" l="1"/>
  <c r="C128" i="14" s="1"/>
  <c r="C46" i="38" l="1"/>
  <c r="C56" i="37"/>
  <c r="K39" i="27"/>
  <c r="M9" i="28"/>
  <c r="K11" i="27" l="1"/>
  <c r="K93" i="27"/>
  <c r="K74" i="27"/>
  <c r="K120" i="27"/>
  <c r="C47" i="38"/>
  <c r="C57" i="37"/>
  <c r="AJ13" i="34" l="1"/>
  <c r="AJ14" i="34"/>
  <c r="AJ15" i="34"/>
  <c r="AJ17" i="34"/>
  <c r="AH13" i="26"/>
  <c r="H15" i="23" l="1"/>
  <c r="K37" i="27" l="1"/>
  <c r="K118" i="27"/>
  <c r="K72" i="27"/>
  <c r="K10" i="27"/>
  <c r="K91" i="27"/>
  <c r="AJ5" i="34"/>
  <c r="Q1" i="34"/>
  <c r="AG18" i="34"/>
  <c r="C18" i="34"/>
  <c r="V18" i="34" s="1"/>
  <c r="AG17" i="34"/>
  <c r="U17" i="34"/>
  <c r="AG16" i="34"/>
  <c r="B16" i="34"/>
  <c r="U16" i="34" s="1"/>
  <c r="AG15" i="34"/>
  <c r="U15" i="34"/>
  <c r="AG14" i="34"/>
  <c r="B14" i="34"/>
  <c r="U14" i="34" s="1"/>
  <c r="AG13" i="34"/>
  <c r="B13" i="34"/>
  <c r="U13" i="34" s="1"/>
  <c r="AG12" i="34"/>
  <c r="B12" i="34"/>
  <c r="U12" i="34" s="1"/>
  <c r="AJ6" i="34"/>
  <c r="AF6" i="34"/>
  <c r="AF5" i="34"/>
  <c r="AJ3" i="34"/>
  <c r="AF3" i="34"/>
  <c r="AF2" i="34"/>
  <c r="AJ2" i="34"/>
  <c r="AI1" i="34"/>
  <c r="B17" i="26" l="1"/>
  <c r="E415" i="27" l="1"/>
  <c r="E413" i="27"/>
  <c r="H418" i="27"/>
  <c r="E420" i="27"/>
  <c r="E419" i="27"/>
  <c r="E418" i="27"/>
  <c r="E417" i="27"/>
  <c r="E416" i="27"/>
  <c r="E414" i="27"/>
  <c r="H413" i="27"/>
  <c r="J44" i="27" l="1"/>
  <c r="J54" i="27" l="1"/>
  <c r="J53" i="27"/>
  <c r="J50" i="27"/>
  <c r="J49" i="27"/>
  <c r="J52" i="27"/>
  <c r="J51" i="27"/>
  <c r="J47" i="27"/>
  <c r="J48" i="27"/>
  <c r="J45" i="27"/>
  <c r="J46" i="27"/>
  <c r="B16" i="26"/>
  <c r="J143" i="27"/>
  <c r="J132" i="27" s="1"/>
  <c r="J122" i="27"/>
  <c r="J113" i="27" s="1"/>
  <c r="J95" i="27"/>
  <c r="J86" i="27" s="1"/>
  <c r="J76" i="27"/>
  <c r="J67" i="27" s="1"/>
  <c r="J62" i="27"/>
  <c r="J57" i="27"/>
  <c r="J41" i="27"/>
  <c r="J32" i="27" s="1"/>
  <c r="J27" i="27"/>
  <c r="J13" i="27"/>
  <c r="J5" i="27" s="1"/>
  <c r="J16" i="27"/>
  <c r="J18" i="27" l="1"/>
  <c r="J20" i="27"/>
  <c r="J19" i="27"/>
  <c r="J17" i="27"/>
  <c r="Q9" i="28"/>
  <c r="K10" i="28"/>
  <c r="K11" i="28"/>
  <c r="K12" i="28"/>
  <c r="K13" i="28"/>
  <c r="K14" i="28"/>
  <c r="K15" i="28"/>
  <c r="K16" i="28"/>
  <c r="C18" i="33"/>
  <c r="B16" i="33"/>
  <c r="B14" i="33"/>
  <c r="B13" i="33"/>
  <c r="B12" i="33"/>
  <c r="I17" i="34"/>
  <c r="AB17" i="34" s="1"/>
  <c r="B12" i="26"/>
  <c r="B13" i="26"/>
  <c r="B14" i="26"/>
  <c r="U15" i="33" l="1"/>
  <c r="I16" i="33"/>
  <c r="I16" i="34"/>
  <c r="AB16" i="34" s="1"/>
  <c r="I14" i="33"/>
  <c r="I14" i="34"/>
  <c r="AB14" i="34" s="1"/>
  <c r="I13" i="33"/>
  <c r="I13" i="34"/>
  <c r="AB13" i="34" s="1"/>
  <c r="I12" i="33"/>
  <c r="I12" i="34"/>
  <c r="AB12" i="34" s="1"/>
  <c r="AB15" i="34"/>
  <c r="I18" i="26"/>
  <c r="AA18" i="26" s="1"/>
  <c r="J18" i="34"/>
  <c r="AC18" i="34" s="1"/>
  <c r="J18" i="33"/>
  <c r="C13" i="36" l="1"/>
  <c r="K13" i="36"/>
  <c r="C45" i="36"/>
  <c r="K45" i="36"/>
  <c r="C29" i="36"/>
  <c r="K29" i="36"/>
  <c r="B25" i="36"/>
  <c r="J41" i="36"/>
  <c r="B9" i="36"/>
  <c r="B41" i="36"/>
  <c r="J25" i="36"/>
  <c r="J9" i="36"/>
  <c r="J7" i="36"/>
  <c r="J39" i="36"/>
  <c r="B23" i="36"/>
  <c r="B7" i="36"/>
  <c r="B39" i="36"/>
  <c r="J23" i="36"/>
  <c r="J40" i="36"/>
  <c r="B24" i="36"/>
  <c r="B8" i="36"/>
  <c r="J24" i="36"/>
  <c r="B40" i="36"/>
  <c r="J8" i="36"/>
  <c r="AB15" i="33"/>
  <c r="AE13" i="26" l="1"/>
  <c r="AE14" i="26"/>
  <c r="AE16" i="26"/>
  <c r="AE17" i="26"/>
  <c r="AE12" i="26"/>
  <c r="AJ2" i="33"/>
  <c r="AH6" i="26"/>
  <c r="AJ6" i="33"/>
  <c r="AF5" i="33"/>
  <c r="AF6" i="33"/>
  <c r="AI1" i="33"/>
  <c r="AF2" i="33"/>
  <c r="AG18" i="33"/>
  <c r="AG13" i="33"/>
  <c r="AG14" i="33"/>
  <c r="AG16" i="33"/>
  <c r="AG17" i="33"/>
  <c r="AG12" i="33"/>
  <c r="AJ5" i="33"/>
  <c r="V18" i="33"/>
  <c r="U17" i="33"/>
  <c r="U16" i="33"/>
  <c r="U14" i="33"/>
  <c r="U13" i="33"/>
  <c r="U12" i="33"/>
  <c r="T16" i="26" l="1"/>
  <c r="AC18" i="33"/>
  <c r="AB16" i="33"/>
  <c r="K9" i="28"/>
  <c r="AB13" i="33" l="1"/>
  <c r="H13" i="26"/>
  <c r="AB12" i="33"/>
  <c r="H12" i="26"/>
  <c r="AB14" i="33"/>
  <c r="H14" i="26"/>
  <c r="I17" i="33"/>
  <c r="H17" i="26"/>
  <c r="D28" i="36" l="1"/>
  <c r="D44" i="36"/>
  <c r="D12" i="36"/>
  <c r="L28" i="36"/>
  <c r="L12" i="36"/>
  <c r="L44" i="36"/>
  <c r="AB17" i="33"/>
  <c r="AH5" i="26"/>
  <c r="AH3" i="26"/>
  <c r="AH4" i="26" l="1"/>
  <c r="U18" i="26"/>
  <c r="T17" i="26"/>
  <c r="T14" i="26"/>
  <c r="T13" i="26"/>
  <c r="T12" i="26"/>
  <c r="H416" i="27"/>
  <c r="H417" i="27" l="1"/>
  <c r="H414" i="27" l="1"/>
  <c r="I146" i="27"/>
  <c r="I129" i="27"/>
  <c r="I110" i="27"/>
  <c r="I83" i="27"/>
  <c r="I64" i="27"/>
  <c r="I56" i="27"/>
  <c r="I29" i="27"/>
  <c r="I21" i="27"/>
  <c r="I18" i="27" l="1"/>
  <c r="I17" i="27"/>
  <c r="I16" i="27"/>
  <c r="I127" i="27"/>
  <c r="I126" i="27"/>
  <c r="I81" i="27"/>
  <c r="I80" i="27"/>
  <c r="J127" i="27"/>
  <c r="J126" i="27"/>
  <c r="J81" i="27"/>
  <c r="J80" i="27"/>
  <c r="J130" i="27"/>
  <c r="J111" i="27"/>
  <c r="J84" i="27"/>
  <c r="J65" i="27"/>
  <c r="J3" i="27"/>
  <c r="D144" i="27" l="1"/>
  <c r="J98" i="27"/>
  <c r="D123" i="27" l="1"/>
  <c r="D96" i="27"/>
  <c r="D77" i="27" l="1"/>
  <c r="D63" i="27"/>
  <c r="G63" i="27" s="1"/>
  <c r="G144" i="27"/>
  <c r="G123" i="27"/>
  <c r="G96" i="27"/>
  <c r="G59" i="27"/>
  <c r="J30" i="27"/>
  <c r="D42" i="27" l="1"/>
  <c r="G42" i="27" s="1"/>
  <c r="G77" i="27"/>
  <c r="D61" i="27"/>
  <c r="J22" i="27"/>
  <c r="G61" i="27" l="1"/>
  <c r="D28" i="27"/>
  <c r="G28" i="27" s="1"/>
  <c r="G24" i="27"/>
  <c r="H61" i="27"/>
  <c r="AE1" i="26"/>
  <c r="D26" i="27" l="1"/>
  <c r="H157" i="14"/>
  <c r="G157" i="14"/>
  <c r="G26" i="27" l="1"/>
  <c r="D14" i="27"/>
  <c r="G14" i="27" s="1"/>
  <c r="H26" i="27"/>
  <c r="P83" i="14" l="1"/>
  <c r="P84" i="14"/>
  <c r="P80" i="14"/>
  <c r="P76" i="14"/>
  <c r="P67" i="14"/>
  <c r="P66" i="14"/>
  <c r="P34" i="14"/>
  <c r="P68" i="14"/>
  <c r="P71" i="14"/>
  <c r="P72" i="14"/>
  <c r="P75" i="14" l="1"/>
  <c r="P78" i="14" s="1"/>
  <c r="P73" i="14"/>
  <c r="G22" i="22"/>
  <c r="G21" i="1"/>
  <c r="H14" i="1" s="1"/>
  <c r="G22" i="20"/>
  <c r="P86" i="14" l="1"/>
  <c r="Q57" i="26" l="1"/>
  <c r="R57" i="33" s="1"/>
  <c r="AK57" i="33"/>
  <c r="AI57" i="26"/>
  <c r="M22" i="27" l="1"/>
  <c r="K112" i="27"/>
  <c r="M112" i="27" s="1"/>
  <c r="H14" i="20"/>
  <c r="H14" i="22"/>
  <c r="C100" i="38"/>
  <c r="C95" i="38"/>
  <c r="C105" i="38"/>
  <c r="C121" i="37"/>
  <c r="C111" i="37"/>
  <c r="C116" i="37"/>
  <c r="C108" i="38"/>
  <c r="C103" i="38"/>
  <c r="C98" i="38"/>
  <c r="C124" i="37"/>
  <c r="C119" i="37"/>
  <c r="C114" i="37"/>
  <c r="C6" i="38"/>
  <c r="C7" i="38"/>
  <c r="C5" i="38"/>
  <c r="C4" i="38"/>
  <c r="AK57" i="41"/>
  <c r="R57" i="41"/>
  <c r="G25" i="21"/>
  <c r="C58" i="38"/>
  <c r="C68" i="37"/>
  <c r="C67" i="37"/>
  <c r="C57" i="38"/>
  <c r="C111" i="38"/>
  <c r="C130" i="37"/>
  <c r="C110" i="38"/>
  <c r="C129" i="37"/>
  <c r="C127" i="37"/>
  <c r="C126" i="37"/>
  <c r="M61" i="27"/>
  <c r="L61" i="27" s="1"/>
  <c r="M26" i="27"/>
  <c r="L26" i="27" s="1"/>
  <c r="G24" i="5"/>
  <c r="G24" i="21"/>
  <c r="C23" i="37"/>
  <c r="C124" i="38"/>
  <c r="C116" i="38"/>
  <c r="C135" i="37"/>
  <c r="C118" i="38"/>
  <c r="C137" i="37"/>
  <c r="H11" i="1"/>
  <c r="C22" i="37"/>
  <c r="C17" i="38"/>
  <c r="G25" i="5"/>
  <c r="L45" i="27" s="1"/>
  <c r="J38" i="14"/>
  <c r="C122" i="38"/>
  <c r="C38" i="14"/>
  <c r="F40" i="14"/>
  <c r="C4" i="37"/>
  <c r="C21" i="37"/>
  <c r="C18" i="38"/>
  <c r="C81" i="37"/>
  <c r="C71" i="38"/>
  <c r="C139" i="37"/>
  <c r="C144" i="37" s="1"/>
  <c r="H12" i="23" l="1"/>
  <c r="K73" i="27"/>
  <c r="K119" i="27"/>
  <c r="K131" i="27"/>
  <c r="M131" i="27" s="1"/>
  <c r="K85" i="27"/>
  <c r="M85" i="27" s="1"/>
  <c r="H11" i="21"/>
  <c r="M57" i="27"/>
  <c r="L57" i="27" s="1"/>
  <c r="H11" i="19"/>
  <c r="K66" i="27"/>
  <c r="M66" i="27" s="1"/>
  <c r="H11" i="20"/>
  <c r="L98" i="27"/>
  <c r="K4" i="27"/>
  <c r="M4" i="27" s="1"/>
  <c r="C6" i="37"/>
  <c r="C15" i="38"/>
  <c r="C14" i="38"/>
  <c r="C13" i="38"/>
  <c r="C12" i="38"/>
  <c r="G38" i="14"/>
  <c r="C77" i="38"/>
  <c r="C76" i="38"/>
  <c r="C75" i="38"/>
  <c r="C74" i="38"/>
  <c r="C73" i="38"/>
  <c r="C81" i="38"/>
  <c r="C80" i="38"/>
  <c r="C79" i="38"/>
  <c r="C78" i="38"/>
  <c r="C82" i="38"/>
  <c r="C83" i="38"/>
  <c r="C87" i="38"/>
  <c r="C86" i="38"/>
  <c r="C85" i="38"/>
  <c r="C84" i="38"/>
  <c r="M73" i="27"/>
  <c r="C122" i="37"/>
  <c r="C123" i="37"/>
  <c r="C118" i="37"/>
  <c r="C117" i="37"/>
  <c r="C112" i="37"/>
  <c r="C113" i="37"/>
  <c r="C101" i="38"/>
  <c r="C96" i="38"/>
  <c r="C107" i="38"/>
  <c r="C106" i="38"/>
  <c r="C97" i="38"/>
  <c r="C102" i="38"/>
  <c r="C104" i="38"/>
  <c r="C99" i="38"/>
  <c r="C109" i="38"/>
  <c r="C120" i="37"/>
  <c r="C115" i="37"/>
  <c r="C125" i="37"/>
  <c r="C11" i="38"/>
  <c r="C10" i="38"/>
  <c r="C9" i="38"/>
  <c r="C8" i="38"/>
  <c r="C8" i="37"/>
  <c r="C9" i="37"/>
  <c r="C10" i="37"/>
  <c r="C7" i="37"/>
  <c r="L22" i="27"/>
  <c r="C105" i="37"/>
  <c r="H39" i="14"/>
  <c r="J39" i="14"/>
  <c r="C101" i="37"/>
  <c r="C20" i="37"/>
  <c r="G26" i="20"/>
  <c r="M119" i="27"/>
  <c r="C83" i="37"/>
  <c r="G26" i="21"/>
  <c r="L100" i="27" s="1"/>
  <c r="C59" i="38"/>
  <c r="C69" i="37"/>
  <c r="G27" i="21"/>
  <c r="L101" i="27" s="1"/>
  <c r="C60" i="38"/>
  <c r="C70" i="37"/>
  <c r="C52" i="37"/>
  <c r="C61" i="37" s="1"/>
  <c r="C140" i="37"/>
  <c r="C145" i="37" s="1"/>
  <c r="C102" i="37"/>
  <c r="C89" i="38"/>
  <c r="C28" i="37"/>
  <c r="C84" i="37"/>
  <c r="C20" i="38"/>
  <c r="C25" i="38"/>
  <c r="C88" i="38"/>
  <c r="C120" i="38"/>
  <c r="C123" i="38"/>
  <c r="H40" i="14"/>
  <c r="C54" i="38"/>
  <c r="C55" i="38"/>
  <c r="C112" i="38"/>
  <c r="C131" i="37"/>
  <c r="C128" i="37"/>
  <c r="C103" i="37"/>
  <c r="C106" i="37"/>
  <c r="C104" i="37"/>
  <c r="C50" i="38"/>
  <c r="C51" i="38"/>
  <c r="C40" i="14"/>
  <c r="F39" i="14"/>
  <c r="I57" i="27" s="1"/>
  <c r="D40" i="14"/>
  <c r="K22" i="27"/>
  <c r="C121" i="38"/>
  <c r="C141" i="37"/>
  <c r="C143" i="37" s="1"/>
  <c r="J40" i="14"/>
  <c r="G39" i="14"/>
  <c r="C70" i="38"/>
  <c r="C80" i="37"/>
  <c r="C110" i="37"/>
  <c r="C94" i="38"/>
  <c r="K61" i="27"/>
  <c r="K26" i="27"/>
  <c r="C19" i="38"/>
  <c r="C53" i="37"/>
  <c r="C5" i="37"/>
  <c r="I40" i="14"/>
  <c r="C136" i="37"/>
  <c r="C39" i="14"/>
  <c r="C117" i="38"/>
  <c r="G26" i="5"/>
  <c r="L46" i="27" s="1"/>
  <c r="G26" i="22"/>
  <c r="L128" i="27" s="1"/>
  <c r="C85" i="37"/>
  <c r="C90" i="38"/>
  <c r="G40" i="14"/>
  <c r="G27" i="5"/>
  <c r="L47" i="27" s="1"/>
  <c r="E41" i="14"/>
  <c r="C33" i="37"/>
  <c r="L44" i="27"/>
  <c r="L99" i="27"/>
  <c r="H11" i="5"/>
  <c r="I131" i="27" l="1"/>
  <c r="C237" i="35"/>
  <c r="C243" i="35"/>
  <c r="C219" i="35"/>
  <c r="I66" i="27"/>
  <c r="E2" i="20"/>
  <c r="I65" i="27" s="1"/>
  <c r="I4" i="27"/>
  <c r="E2" i="1"/>
  <c r="I85" i="27"/>
  <c r="E2" i="21"/>
  <c r="C246" i="35"/>
  <c r="C15" i="35"/>
  <c r="H22" i="21"/>
  <c r="D27" i="27"/>
  <c r="D29" i="27" s="1"/>
  <c r="H22" i="5"/>
  <c r="L82" i="27"/>
  <c r="D82" i="27" s="1"/>
  <c r="K31" i="27"/>
  <c r="M31" i="27" s="1"/>
  <c r="G12" i="23"/>
  <c r="C88" i="37"/>
  <c r="C87" i="37"/>
  <c r="C86" i="37"/>
  <c r="C90" i="37"/>
  <c r="C89" i="37"/>
  <c r="C95" i="37"/>
  <c r="C94" i="37"/>
  <c r="C93" i="37"/>
  <c r="C92" i="37"/>
  <c r="C91" i="37"/>
  <c r="C14" i="37"/>
  <c r="C12" i="37"/>
  <c r="C11" i="37"/>
  <c r="C13" i="37"/>
  <c r="C99" i="37"/>
  <c r="C98" i="37"/>
  <c r="C97" i="37"/>
  <c r="C96" i="37"/>
  <c r="C100" i="37"/>
  <c r="C17" i="37"/>
  <c r="C15" i="37"/>
  <c r="C18" i="37"/>
  <c r="C16" i="37"/>
  <c r="E2" i="23"/>
  <c r="C18" i="35"/>
  <c r="K43" i="27"/>
  <c r="C142" i="37"/>
  <c r="C165" i="35"/>
  <c r="C138" i="35"/>
  <c r="C153" i="35"/>
  <c r="C60" i="37"/>
  <c r="E2" i="19"/>
  <c r="C9" i="35"/>
  <c r="C168" i="35"/>
  <c r="C174" i="35"/>
  <c r="C177" i="35"/>
  <c r="C180" i="35"/>
  <c r="C186" i="35"/>
  <c r="C234" i="35"/>
  <c r="C222" i="35"/>
  <c r="C225" i="35"/>
  <c r="C42" i="35"/>
  <c r="C228" i="35"/>
  <c r="C240" i="35"/>
  <c r="C66" i="35"/>
  <c r="C51" i="35"/>
  <c r="C171" i="35"/>
  <c r="C231" i="35"/>
  <c r="C39" i="35"/>
  <c r="C54" i="35"/>
  <c r="C57" i="35"/>
  <c r="C183" i="35"/>
  <c r="C60" i="35"/>
  <c r="C48" i="35"/>
  <c r="C45" i="35"/>
  <c r="C63" i="35"/>
  <c r="C159" i="35"/>
  <c r="C162" i="35"/>
  <c r="C141" i="35"/>
  <c r="C129" i="35"/>
  <c r="C135" i="35"/>
  <c r="C156" i="35"/>
  <c r="C132" i="35"/>
  <c r="C144" i="35"/>
  <c r="C150" i="35"/>
  <c r="C147" i="35"/>
  <c r="C146" i="37"/>
  <c r="C65" i="37"/>
  <c r="C64" i="37"/>
  <c r="C41" i="38"/>
  <c r="I111" i="27"/>
  <c r="K78" i="27"/>
  <c r="K36" i="27"/>
  <c r="K15" i="27"/>
  <c r="C30" i="35"/>
  <c r="C21" i="35"/>
  <c r="C27" i="35"/>
  <c r="C24" i="35"/>
  <c r="C33" i="35"/>
  <c r="C36" i="35"/>
  <c r="C12" i="35"/>
  <c r="C102" i="35"/>
  <c r="C99" i="35"/>
  <c r="C117" i="35"/>
  <c r="C111" i="35"/>
  <c r="C126" i="35"/>
  <c r="C114" i="35"/>
  <c r="C105" i="35"/>
  <c r="C123" i="35"/>
  <c r="C120" i="35"/>
  <c r="C108" i="35"/>
  <c r="D128" i="27"/>
  <c r="E39" i="14"/>
  <c r="E40" i="14"/>
  <c r="C31" i="37"/>
  <c r="C32" i="37"/>
  <c r="C48" i="37" s="1"/>
  <c r="C128" i="27" l="1"/>
  <c r="M128" i="27" s="1"/>
  <c r="H82" i="27"/>
  <c r="H4" i="23"/>
  <c r="H2" i="23"/>
  <c r="C420" i="27"/>
  <c r="I31" i="27"/>
  <c r="E2" i="5"/>
  <c r="H27" i="27"/>
  <c r="H29" i="27" s="1"/>
  <c r="G27" i="27"/>
  <c r="G29" i="27" s="1"/>
  <c r="M143" i="27"/>
  <c r="M13" i="27"/>
  <c r="L13" i="27" s="1"/>
  <c r="G414" i="27"/>
  <c r="M120" i="27"/>
  <c r="M124" i="27" s="1"/>
  <c r="K124" i="27"/>
  <c r="K90" i="27"/>
  <c r="K97" i="27"/>
  <c r="G420" i="27"/>
  <c r="F420" i="27"/>
  <c r="K9" i="27"/>
  <c r="C82" i="27"/>
  <c r="M82" i="27" s="1"/>
  <c r="G82" i="27"/>
  <c r="H4" i="18"/>
  <c r="F414" i="27"/>
  <c r="C414" i="27"/>
  <c r="K71" i="27"/>
  <c r="M71" i="27" s="1"/>
  <c r="L71" i="27" s="1"/>
  <c r="K117" i="27"/>
  <c r="M117" i="27" s="1"/>
  <c r="L117" i="27" s="1"/>
  <c r="M74" i="27"/>
  <c r="M78" i="27" s="1"/>
  <c r="E38" i="14"/>
  <c r="C87" i="35" s="1"/>
  <c r="C30" i="37"/>
  <c r="C37" i="37" s="1"/>
  <c r="C30" i="38"/>
  <c r="G128" i="27"/>
  <c r="H128" i="27"/>
  <c r="G11" i="5"/>
  <c r="H4" i="5" l="1"/>
  <c r="D420" i="27"/>
  <c r="M41" i="27"/>
  <c r="C90" i="35"/>
  <c r="C75" i="35"/>
  <c r="C72" i="35"/>
  <c r="C93" i="35"/>
  <c r="C69" i="35"/>
  <c r="C96" i="35"/>
  <c r="C78" i="35"/>
  <c r="C81" i="35"/>
  <c r="C84" i="35"/>
  <c r="F415" i="27"/>
  <c r="C415" i="27"/>
  <c r="C114" i="38"/>
  <c r="C133" i="37"/>
  <c r="C115" i="38"/>
  <c r="C134" i="37"/>
  <c r="G415" i="27" l="1"/>
  <c r="D415" i="27"/>
  <c r="C38" i="38"/>
  <c r="C33" i="38"/>
  <c r="C29" i="38"/>
  <c r="C34" i="38"/>
  <c r="C36" i="37"/>
  <c r="C45" i="37"/>
  <c r="C40" i="37"/>
  <c r="C41" i="37"/>
  <c r="C42" i="38"/>
  <c r="C49" i="37"/>
  <c r="C37" i="38"/>
  <c r="C44" i="37"/>
  <c r="C35" i="38"/>
  <c r="C31" i="38"/>
  <c r="C42" i="37"/>
  <c r="C38" i="37"/>
  <c r="C40" i="38"/>
  <c r="C47" i="37"/>
  <c r="C36" i="38"/>
  <c r="C28" i="38"/>
  <c r="C32" i="38"/>
  <c r="C35" i="37"/>
  <c r="C43" i="37"/>
  <c r="C39" i="37"/>
  <c r="H14" i="21" l="1"/>
  <c r="H14" i="5"/>
  <c r="K92" i="27"/>
  <c r="M90" i="27" s="1"/>
  <c r="K38" i="27"/>
  <c r="C39" i="38"/>
  <c r="C34" i="37"/>
  <c r="C27" i="38"/>
  <c r="C46" i="37"/>
  <c r="C44" i="38"/>
  <c r="C54" i="37"/>
  <c r="C58" i="37"/>
  <c r="C52" i="38"/>
  <c r="C48" i="38"/>
  <c r="C62" i="37"/>
  <c r="C55" i="37"/>
  <c r="C45" i="38"/>
  <c r="C53" i="38"/>
  <c r="C59" i="37"/>
  <c r="C49" i="38"/>
  <c r="C63" i="37"/>
  <c r="G24" i="20"/>
  <c r="G24" i="22"/>
  <c r="G25" i="20"/>
  <c r="G25" i="22"/>
  <c r="H23" i="22" l="1"/>
  <c r="H23" i="20"/>
  <c r="H13" i="20" s="1"/>
  <c r="L81" i="27"/>
  <c r="D81" i="27" s="1"/>
  <c r="L127" i="27"/>
  <c r="D127" i="27" s="1"/>
  <c r="M38" i="27"/>
  <c r="G14" i="5"/>
  <c r="L80" i="27"/>
  <c r="L126" i="27"/>
  <c r="C127" i="27" l="1"/>
  <c r="M127" i="27" s="1"/>
  <c r="C81" i="27"/>
  <c r="M81" i="27" s="1"/>
  <c r="G127" i="27"/>
  <c r="H127" i="27"/>
  <c r="G81" i="27"/>
  <c r="H81" i="27"/>
  <c r="D126" i="27" l="1"/>
  <c r="D80" i="27"/>
  <c r="C80" i="27" l="1"/>
  <c r="M80" i="27" s="1"/>
  <c r="C126" i="27"/>
  <c r="M126" i="27" s="1"/>
  <c r="G126" i="27"/>
  <c r="H126" i="27"/>
  <c r="G80" i="27"/>
  <c r="H80" i="27"/>
  <c r="D62" i="27" l="1"/>
  <c r="D64" i="27" s="1"/>
  <c r="I30" i="27"/>
  <c r="G11" i="18"/>
  <c r="G11" i="21"/>
  <c r="G11" i="22"/>
  <c r="G11" i="20"/>
  <c r="G11" i="19"/>
  <c r="H62" i="27" l="1"/>
  <c r="H64" i="27" s="1"/>
  <c r="G62" i="27"/>
  <c r="G64" i="27" s="1"/>
  <c r="F416" i="27"/>
  <c r="G416" i="27"/>
  <c r="H4" i="19"/>
  <c r="C416" i="27"/>
  <c r="I130" i="27"/>
  <c r="E2" i="18"/>
  <c r="I84" i="27"/>
  <c r="H2" i="20" l="1"/>
  <c r="M76" i="27"/>
  <c r="H2" i="22"/>
  <c r="M122" i="27"/>
  <c r="C418" i="27"/>
  <c r="H2" i="21"/>
  <c r="C419" i="27"/>
  <c r="F418" i="27"/>
  <c r="H4" i="21"/>
  <c r="G418" i="27"/>
  <c r="G419" i="27"/>
  <c r="H4" i="22"/>
  <c r="F419" i="27"/>
  <c r="G417" i="27"/>
  <c r="F417" i="27"/>
  <c r="H4" i="20"/>
  <c r="C417" i="27"/>
  <c r="M95" i="27"/>
  <c r="H2" i="19"/>
  <c r="M62" i="27"/>
  <c r="D416" i="27" l="1"/>
  <c r="D417" i="27"/>
  <c r="D418" i="27"/>
  <c r="D419" i="27"/>
  <c r="M403" i="27"/>
  <c r="M401" i="27"/>
  <c r="M404" i="27"/>
  <c r="G26" i="1"/>
  <c r="D46" i="27"/>
  <c r="G23" i="1"/>
  <c r="G24" i="1"/>
  <c r="G25" i="1"/>
  <c r="M92" i="27"/>
  <c r="C46" i="27" l="1"/>
  <c r="M46" i="27" s="1"/>
  <c r="L16" i="27"/>
  <c r="H22" i="1"/>
  <c r="L17" i="27"/>
  <c r="L90" i="27"/>
  <c r="G46" i="27"/>
  <c r="H46" i="27"/>
  <c r="G413" i="27"/>
  <c r="F413" i="27"/>
  <c r="H4" i="1"/>
  <c r="C413" i="27"/>
  <c r="J420" i="27" s="1"/>
  <c r="D100" i="27"/>
  <c r="D101" i="27"/>
  <c r="D47" i="27"/>
  <c r="I3" i="27"/>
  <c r="G11" i="1"/>
  <c r="L19" i="27"/>
  <c r="L18" i="27"/>
  <c r="C47" i="27" l="1"/>
  <c r="M47" i="27" s="1"/>
  <c r="C101" i="27"/>
  <c r="C100" i="27"/>
  <c r="H13" i="1"/>
  <c r="D16" i="27"/>
  <c r="C16" i="27" s="1"/>
  <c r="M16" i="27" s="1"/>
  <c r="M101" i="27"/>
  <c r="G101" i="27"/>
  <c r="H101" i="27"/>
  <c r="G47" i="27"/>
  <c r="H47" i="27"/>
  <c r="M100" i="27"/>
  <c r="G100" i="27"/>
  <c r="H100" i="27"/>
  <c r="H2" i="5"/>
  <c r="D19" i="27"/>
  <c r="C19" i="27" s="1"/>
  <c r="M19" i="27" s="1"/>
  <c r="D98" i="27"/>
  <c r="M402" i="27"/>
  <c r="D45" i="27"/>
  <c r="D413" i="27"/>
  <c r="C45" i="27" l="1"/>
  <c r="M45" i="27" s="1"/>
  <c r="C98" i="27"/>
  <c r="M98" i="27" s="1"/>
  <c r="H16" i="27"/>
  <c r="G16" i="27"/>
  <c r="D18" i="27"/>
  <c r="H18" i="27" s="1"/>
  <c r="M400" i="27"/>
  <c r="G45" i="27"/>
  <c r="H45" i="27"/>
  <c r="G98" i="27"/>
  <c r="H98" i="27"/>
  <c r="G19" i="27"/>
  <c r="H19" i="27"/>
  <c r="D99" i="27"/>
  <c r="D3" i="27"/>
  <c r="H13" i="22"/>
  <c r="C99" i="27" l="1"/>
  <c r="M99" i="27" s="1"/>
  <c r="C4" i="27"/>
  <c r="I11" i="27" s="1"/>
  <c r="C18" i="27"/>
  <c r="M18" i="27" s="1"/>
  <c r="G18" i="27"/>
  <c r="M11" i="27"/>
  <c r="M15" i="27" s="1"/>
  <c r="M93" i="27"/>
  <c r="M97" i="27" s="1"/>
  <c r="M39" i="27"/>
  <c r="M43" i="27" s="1"/>
  <c r="G99" i="27"/>
  <c r="H99" i="27"/>
  <c r="D44" i="27"/>
  <c r="D10" i="27"/>
  <c r="C10" i="27" s="1"/>
  <c r="G14" i="20"/>
  <c r="D65" i="27"/>
  <c r="C66" i="27" s="1"/>
  <c r="G14" i="1"/>
  <c r="H2" i="1"/>
  <c r="G14" i="22"/>
  <c r="D111" i="27"/>
  <c r="C112" i="27" s="1"/>
  <c r="C120" i="27" s="1"/>
  <c r="D9" i="27"/>
  <c r="D5" i="27" l="1"/>
  <c r="D13" i="27" s="1"/>
  <c r="C11" i="27"/>
  <c r="D113" i="27"/>
  <c r="I120" i="27"/>
  <c r="D67" i="27"/>
  <c r="I74" i="27"/>
  <c r="C74" i="27"/>
  <c r="D4" i="27"/>
  <c r="D6" i="27"/>
  <c r="L4" i="27"/>
  <c r="C8" i="27"/>
  <c r="D8" i="27" s="1"/>
  <c r="D68" i="27"/>
  <c r="G68" i="27" s="1"/>
  <c r="D66" i="27"/>
  <c r="D74" i="27" s="1"/>
  <c r="D114" i="27"/>
  <c r="G114" i="27" s="1"/>
  <c r="D112" i="27"/>
  <c r="D120" i="27" s="1"/>
  <c r="C116" i="27"/>
  <c r="L112" i="27"/>
  <c r="C70" i="27"/>
  <c r="L66" i="27"/>
  <c r="C44" i="27"/>
  <c r="M44" i="27" s="1"/>
  <c r="M405" i="27"/>
  <c r="H10" i="27"/>
  <c r="G10" i="27"/>
  <c r="G9" i="27"/>
  <c r="H9" i="27"/>
  <c r="G44" i="27"/>
  <c r="H44" i="27"/>
  <c r="D73" i="27"/>
  <c r="L73" i="27" s="1"/>
  <c r="D118" i="27"/>
  <c r="C118" i="27" s="1"/>
  <c r="D119" i="27"/>
  <c r="L119" i="27" s="1"/>
  <c r="D72" i="27"/>
  <c r="C72" i="27" s="1"/>
  <c r="D117" i="27"/>
  <c r="G14" i="21"/>
  <c r="D84" i="27"/>
  <c r="H13" i="21"/>
  <c r="D71" i="27"/>
  <c r="H13" i="5"/>
  <c r="D30" i="27"/>
  <c r="C31" i="27" s="1"/>
  <c r="D17" i="27"/>
  <c r="I39" i="27" l="1"/>
  <c r="D31" i="27"/>
  <c r="H4" i="27"/>
  <c r="D11" i="27"/>
  <c r="D32" i="27"/>
  <c r="C39" i="27"/>
  <c r="K5" i="27"/>
  <c r="M3" i="27" s="1"/>
  <c r="L3" i="27" s="1"/>
  <c r="G13" i="27"/>
  <c r="H13" i="27"/>
  <c r="K67" i="27"/>
  <c r="M65" i="27" s="1"/>
  <c r="L65" i="27" s="1"/>
  <c r="D76" i="27"/>
  <c r="K113" i="27"/>
  <c r="M111" i="27" s="1"/>
  <c r="L111" i="27" s="1"/>
  <c r="D122" i="27"/>
  <c r="D39" i="27"/>
  <c r="G4" i="27"/>
  <c r="D15" i="27"/>
  <c r="H15" i="27" s="1"/>
  <c r="L74" i="27"/>
  <c r="G6" i="27"/>
  <c r="M8" i="27"/>
  <c r="K8" i="27" s="1"/>
  <c r="C85" i="27"/>
  <c r="C93" i="27" s="1"/>
  <c r="D33" i="27"/>
  <c r="G33" i="27" s="1"/>
  <c r="D124" i="27"/>
  <c r="C35" i="27"/>
  <c r="G8" i="27"/>
  <c r="H8" i="27"/>
  <c r="D70" i="27"/>
  <c r="M70" i="27"/>
  <c r="G66" i="27"/>
  <c r="H66" i="27"/>
  <c r="D116" i="27"/>
  <c r="M116" i="27"/>
  <c r="H112" i="27"/>
  <c r="G112" i="27"/>
  <c r="C17" i="27"/>
  <c r="M17" i="27" s="1"/>
  <c r="M9" i="27"/>
  <c r="G73" i="27"/>
  <c r="H73" i="27"/>
  <c r="D38" i="27"/>
  <c r="L38" i="27" s="1"/>
  <c r="G117" i="27"/>
  <c r="H117" i="27"/>
  <c r="G119" i="27"/>
  <c r="H119" i="27"/>
  <c r="G71" i="27"/>
  <c r="H71" i="27"/>
  <c r="G118" i="27"/>
  <c r="H118" i="27"/>
  <c r="G72" i="27"/>
  <c r="H72" i="27"/>
  <c r="G17" i="27"/>
  <c r="H17" i="27"/>
  <c r="D91" i="27"/>
  <c r="D92" i="27"/>
  <c r="L92" i="27" s="1"/>
  <c r="D90" i="27"/>
  <c r="H2" i="18"/>
  <c r="D37" i="27"/>
  <c r="D36" i="27"/>
  <c r="M27" i="27"/>
  <c r="D86" i="27" l="1"/>
  <c r="I93" i="27"/>
  <c r="D21" i="27"/>
  <c r="L15" i="27"/>
  <c r="C89" i="27"/>
  <c r="D89" i="27" s="1"/>
  <c r="G122" i="27"/>
  <c r="H122" i="27"/>
  <c r="G76" i="27"/>
  <c r="H76" i="27"/>
  <c r="G15" i="27"/>
  <c r="K32" i="27"/>
  <c r="M30" i="27" s="1"/>
  <c r="L30" i="27" s="1"/>
  <c r="D41" i="27"/>
  <c r="G11" i="27"/>
  <c r="L11" i="27"/>
  <c r="H11" i="27"/>
  <c r="H21" i="27" s="1"/>
  <c r="H120" i="27"/>
  <c r="D78" i="27"/>
  <c r="G78" i="27" s="1"/>
  <c r="L124" i="27"/>
  <c r="L8" i="27"/>
  <c r="L120" i="27"/>
  <c r="D87" i="27"/>
  <c r="G87" i="27" s="1"/>
  <c r="G120" i="27"/>
  <c r="L85" i="27"/>
  <c r="D85" i="27"/>
  <c r="D93" i="27" s="1"/>
  <c r="D129" i="27"/>
  <c r="G124" i="27"/>
  <c r="H124" i="27"/>
  <c r="D35" i="27"/>
  <c r="M35" i="27"/>
  <c r="H31" i="27"/>
  <c r="G31" i="27"/>
  <c r="L39" i="27"/>
  <c r="L116" i="27"/>
  <c r="K116" i="27"/>
  <c r="G116" i="27"/>
  <c r="H116" i="27"/>
  <c r="L70" i="27"/>
  <c r="K70" i="27"/>
  <c r="G70" i="27"/>
  <c r="H70" i="27"/>
  <c r="M36" i="27"/>
  <c r="L36" i="27" s="1"/>
  <c r="L9" i="27"/>
  <c r="D414" i="27"/>
  <c r="G91" i="27"/>
  <c r="H91" i="27"/>
  <c r="G90" i="27"/>
  <c r="H90" i="27"/>
  <c r="G92" i="27"/>
  <c r="H92" i="27"/>
  <c r="G36" i="27"/>
  <c r="H36" i="27"/>
  <c r="G37" i="27"/>
  <c r="H37" i="27"/>
  <c r="G38" i="27"/>
  <c r="H38" i="27"/>
  <c r="G74" i="27"/>
  <c r="H74" i="27"/>
  <c r="J413" i="27"/>
  <c r="J414" i="27"/>
  <c r="J415" i="27"/>
  <c r="J417" i="27"/>
  <c r="J419" i="27"/>
  <c r="J418" i="27"/>
  <c r="J416" i="27"/>
  <c r="G21" i="27" l="1"/>
  <c r="M89" i="27"/>
  <c r="K89" i="27" s="1"/>
  <c r="K86" i="27"/>
  <c r="M84" i="27" s="1"/>
  <c r="D95" i="27"/>
  <c r="H41" i="27"/>
  <c r="G41" i="27"/>
  <c r="L78" i="27"/>
  <c r="H78" i="27"/>
  <c r="H83" i="27" s="1"/>
  <c r="D83" i="27"/>
  <c r="G93" i="27"/>
  <c r="D43" i="27"/>
  <c r="H85" i="27"/>
  <c r="G85" i="27"/>
  <c r="M149" i="27"/>
  <c r="M148" i="27"/>
  <c r="M150" i="27"/>
  <c r="M151" i="27"/>
  <c r="M152" i="27"/>
  <c r="M154" i="27"/>
  <c r="M153" i="27"/>
  <c r="D97" i="27"/>
  <c r="H129" i="27"/>
  <c r="G129" i="27"/>
  <c r="H39" i="27"/>
  <c r="G39" i="27"/>
  <c r="G89" i="27"/>
  <c r="H89" i="27"/>
  <c r="L35" i="27"/>
  <c r="K35" i="27"/>
  <c r="G35" i="27"/>
  <c r="H35" i="27"/>
  <c r="G83" i="27"/>
  <c r="I414" i="27"/>
  <c r="I149" i="27" s="1"/>
  <c r="I415" i="27"/>
  <c r="I150" i="27" s="1"/>
  <c r="I416" i="27"/>
  <c r="I151" i="27" s="1"/>
  <c r="I417" i="27"/>
  <c r="I152" i="27" s="1"/>
  <c r="I418" i="27"/>
  <c r="I153" i="27" s="1"/>
  <c r="I419" i="27"/>
  <c r="I154" i="27" s="1"/>
  <c r="I413" i="27"/>
  <c r="I148" i="27" s="1"/>
  <c r="M406" i="27"/>
  <c r="K406" i="27" s="1"/>
  <c r="K404" i="27"/>
  <c r="L404" i="27"/>
  <c r="L402" i="27"/>
  <c r="K402" i="27"/>
  <c r="K400" i="27"/>
  <c r="L400" i="27"/>
  <c r="L405" i="27"/>
  <c r="K405" i="27"/>
  <c r="K403" i="27"/>
  <c r="L403" i="27"/>
  <c r="L401" i="27"/>
  <c r="K401" i="27"/>
  <c r="L89" i="27" l="1"/>
  <c r="G95" i="27"/>
  <c r="H95" i="27"/>
  <c r="L84" i="27"/>
  <c r="K84" i="27"/>
  <c r="L93" i="27"/>
  <c r="H93" i="27"/>
  <c r="L97" i="27"/>
  <c r="L43" i="27"/>
  <c r="G43" i="27"/>
  <c r="G56" i="27" s="1"/>
  <c r="D56" i="27"/>
  <c r="H43" i="27"/>
  <c r="H56" i="27" s="1"/>
  <c r="H97" i="27"/>
  <c r="D110" i="27"/>
  <c r="G97" i="27"/>
  <c r="L406" i="27"/>
  <c r="D149" i="27"/>
  <c r="D150" i="27"/>
  <c r="D153" i="27"/>
  <c r="D152" i="27"/>
  <c r="D151" i="27"/>
  <c r="D148" i="27"/>
  <c r="D154" i="27"/>
  <c r="Z13" i="26"/>
  <c r="Z17" i="26"/>
  <c r="Z16" i="26"/>
  <c r="Z14" i="26"/>
  <c r="Z12" i="26"/>
  <c r="H110" i="27" l="1"/>
  <c r="G110" i="27"/>
  <c r="C24" i="41"/>
  <c r="D155" i="27"/>
  <c r="G154" i="27"/>
  <c r="H154" i="27"/>
  <c r="G151" i="27"/>
  <c r="H151" i="27"/>
  <c r="G149" i="27"/>
  <c r="H149" i="27"/>
  <c r="G148" i="27"/>
  <c r="H148" i="27"/>
  <c r="G152" i="27"/>
  <c r="H152" i="27"/>
  <c r="G153" i="27"/>
  <c r="H153" i="27"/>
  <c r="G150" i="27"/>
  <c r="H150" i="27"/>
  <c r="E24" i="41" l="1"/>
  <c r="B24" i="41" s="1"/>
  <c r="C25" i="41"/>
  <c r="O24" i="41"/>
  <c r="D24" i="41"/>
  <c r="E25" i="41"/>
  <c r="L27" i="27"/>
  <c r="K30" i="27"/>
  <c r="L62" i="27"/>
  <c r="L76" i="27"/>
  <c r="K57" i="27"/>
  <c r="L122" i="27"/>
  <c r="K3" i="27"/>
  <c r="L143" i="27"/>
  <c r="K111" i="27"/>
  <c r="L31" i="27"/>
  <c r="L95" i="27"/>
  <c r="L41" i="27"/>
  <c r="K65" i="27"/>
  <c r="B25" i="41" l="1"/>
  <c r="C26" i="41"/>
  <c r="O25" i="41"/>
  <c r="D25" i="41"/>
  <c r="R24" i="41"/>
  <c r="Q24" i="41"/>
  <c r="E26" i="41"/>
  <c r="B26" i="41" l="1"/>
  <c r="C27" i="41"/>
  <c r="O26" i="41"/>
  <c r="D26" i="41"/>
  <c r="R25" i="41"/>
  <c r="Q25" i="41"/>
  <c r="E27" i="41"/>
  <c r="B27" i="41" l="1"/>
  <c r="C28" i="41"/>
  <c r="O27" i="41"/>
  <c r="D27" i="41"/>
  <c r="R26" i="41"/>
  <c r="Q26" i="41"/>
  <c r="E28" i="41"/>
  <c r="B28" i="41" l="1"/>
  <c r="C29" i="41"/>
  <c r="O28" i="41"/>
  <c r="D28" i="41"/>
  <c r="Q27" i="41"/>
  <c r="R27" i="41"/>
  <c r="C30" i="41" l="1"/>
  <c r="E29" i="41"/>
  <c r="B29" i="41" s="1"/>
  <c r="O29" i="41"/>
  <c r="D29" i="41"/>
  <c r="R28" i="41"/>
  <c r="Q28" i="41"/>
  <c r="C31" i="41" l="1"/>
  <c r="E30" i="41"/>
  <c r="B30" i="41" s="1"/>
  <c r="O30" i="41"/>
  <c r="D30" i="41"/>
  <c r="R29" i="41"/>
  <c r="Q29" i="41"/>
  <c r="E31" i="41"/>
  <c r="B31" i="41" l="1"/>
  <c r="O31" i="41"/>
  <c r="D31" i="41"/>
  <c r="Q30" i="41"/>
  <c r="R30" i="41"/>
  <c r="R31" i="41" l="1"/>
  <c r="Q31" i="41"/>
  <c r="R64" i="41" l="1"/>
  <c r="F54" i="41" s="1"/>
  <c r="AK56" i="41" l="1"/>
  <c r="AK58" i="41" l="1"/>
  <c r="AI58" i="41" s="1"/>
  <c r="AK59" i="41"/>
  <c r="AI59" i="41" s="1"/>
  <c r="AK60" i="41" l="1"/>
  <c r="I187" i="14" l="1"/>
  <c r="J188" i="14" l="1" a="1"/>
  <c r="J188" i="14" s="1"/>
  <c r="I188" i="14" s="1"/>
  <c r="J189" i="14" l="1" a="1"/>
  <c r="J189" i="14" s="1"/>
  <c r="I189" i="14" s="1"/>
  <c r="J190" i="14" l="1" a="1"/>
  <c r="J190" i="14" s="1"/>
  <c r="I190" i="14" s="1"/>
  <c r="J191" i="14" l="1" a="1"/>
  <c r="J191" i="14" s="1"/>
  <c r="I191" i="14" s="1"/>
  <c r="J192" i="14" l="1" a="1"/>
  <c r="J192" i="14" s="1"/>
  <c r="I192" i="14" s="1"/>
  <c r="J193" i="14" s="1" a="1"/>
  <c r="J193" i="14" s="1"/>
  <c r="I193" i="14" s="1"/>
  <c r="J194" i="14" l="1" a="1"/>
  <c r="J194" i="14" s="1"/>
  <c r="I194" i="14" s="1"/>
  <c r="J195" i="14" l="1" a="1"/>
  <c r="J195" i="14" s="1"/>
  <c r="I195" i="14" s="1"/>
  <c r="J196" i="14" s="1" a="1"/>
  <c r="J196" i="14" s="1"/>
  <c r="I196" i="14" s="1"/>
  <c r="J197" i="14" s="1" a="1"/>
  <c r="J197" i="14" s="1"/>
  <c r="I197" i="14" s="1"/>
  <c r="J198" i="14" s="1" a="1"/>
  <c r="J198" i="14" s="1"/>
  <c r="I198" i="14" l="1"/>
  <c r="J199" i="14" s="1" a="1"/>
  <c r="J199" i="14" s="1"/>
  <c r="I199" i="14" l="1"/>
  <c r="J200" i="14" l="1" a="1"/>
  <c r="J200" i="14" s="1"/>
  <c r="I200" i="14" s="1"/>
  <c r="J201" i="14" s="1" a="1"/>
  <c r="J201" i="14" s="1"/>
  <c r="I201" i="14" s="1"/>
  <c r="J202" i="14" l="1" a="1"/>
  <c r="J202" i="14" s="1"/>
  <c r="I202" i="14" s="1"/>
  <c r="J203" i="14" l="1" a="1"/>
  <c r="J203" i="14" s="1"/>
  <c r="I203" i="14" s="1"/>
  <c r="J204" i="14" s="1" a="1"/>
  <c r="J204" i="14" s="1"/>
  <c r="I204" i="14" s="1"/>
  <c r="J205" i="14" s="1" a="1"/>
  <c r="J205" i="14" s="1"/>
  <c r="I205" i="14" s="1"/>
  <c r="J206" i="14" l="1" a="1"/>
  <c r="J206" i="14" s="1"/>
  <c r="I206" i="14" s="1"/>
  <c r="J207" i="14" s="1" a="1"/>
  <c r="J207" i="14" s="1"/>
  <c r="I207" i="14" s="1"/>
  <c r="J208" i="14" l="1" a="1"/>
  <c r="J208" i="14" s="1"/>
  <c r="I208" i="14" s="1"/>
  <c r="J209" i="14" s="1" a="1"/>
  <c r="J209" i="14" s="1"/>
  <c r="I209" i="14" s="1"/>
  <c r="J210" i="14" s="1" a="1"/>
  <c r="J210" i="14" s="1"/>
  <c r="I210" i="14" l="1"/>
  <c r="J211" i="14" l="1" a="1"/>
  <c r="J211" i="14" s="1"/>
  <c r="I211" i="14" s="1"/>
  <c r="J212" i="14" s="1" a="1"/>
  <c r="J212" i="14" s="1"/>
  <c r="I212" i="14" s="1"/>
  <c r="J213" i="14" l="1" a="1"/>
  <c r="J213" i="14" s="1"/>
  <c r="I213" i="14" s="1"/>
  <c r="J214" i="14" s="1" a="1"/>
  <c r="J214" i="14" s="1"/>
  <c r="I214" i="14" s="1"/>
  <c r="J215" i="14" l="1" a="1"/>
  <c r="J215" i="14" s="1"/>
  <c r="I215" i="14" s="1"/>
  <c r="J216" i="14" s="1" a="1"/>
  <c r="J216" i="14" s="1"/>
  <c r="I216" i="14" s="1"/>
  <c r="J217" i="14" s="1" a="1"/>
  <c r="J217" i="14" s="1"/>
  <c r="I217" i="14" l="1"/>
  <c r="J218" i="14" s="1" a="1"/>
  <c r="J218" i="14" s="1"/>
  <c r="I218" i="14" l="1"/>
  <c r="J219" i="14" s="1" a="1"/>
  <c r="J219" i="14" s="1"/>
  <c r="I219" i="14" l="1"/>
  <c r="J220" i="14" s="1" a="1"/>
  <c r="J220" i="14" s="1"/>
  <c r="I220" i="14" l="1"/>
  <c r="J221" i="14" s="1" a="1"/>
  <c r="J221" i="14" s="1"/>
  <c r="I221" i="14" l="1"/>
  <c r="J222" i="14" s="1" a="1"/>
  <c r="J222" i="14" s="1"/>
  <c r="I222" i="14" l="1"/>
  <c r="J223" i="14" s="1" a="1"/>
  <c r="J223" i="14" s="1"/>
  <c r="I223" i="14" l="1"/>
  <c r="J224" i="14" s="1" a="1"/>
  <c r="J224" i="14" s="1"/>
  <c r="I224" i="14" l="1"/>
  <c r="J225" i="14" s="1" a="1"/>
  <c r="J225" i="14" s="1"/>
  <c r="I225" i="14" l="1"/>
  <c r="J226" i="14" s="1" a="1"/>
  <c r="J226" i="14" s="1"/>
  <c r="I226" i="14" l="1"/>
  <c r="J227" i="14" s="1" a="1"/>
  <c r="J227" i="14" s="1"/>
  <c r="I227" i="14" l="1"/>
  <c r="J228" i="14" s="1" a="1"/>
  <c r="J228" i="14" s="1"/>
  <c r="I228" i="14" l="1"/>
  <c r="J229" i="14" s="1" a="1"/>
  <c r="J229" i="14" s="1"/>
  <c r="I229" i="14" l="1"/>
  <c r="J230" i="14" s="1" a="1"/>
  <c r="J230" i="14" s="1"/>
  <c r="I230" i="14" l="1"/>
  <c r="J231" i="14" s="1" a="1"/>
  <c r="J231" i="14" s="1"/>
  <c r="I231" i="14" l="1"/>
  <c r="J232" i="14" s="1" a="1"/>
  <c r="J232" i="14" s="1"/>
  <c r="I232" i="14" l="1"/>
  <c r="J233" i="14" s="1" a="1"/>
  <c r="J233" i="14" s="1"/>
  <c r="I233" i="14" l="1"/>
  <c r="J234" i="14" s="1" a="1"/>
  <c r="J234" i="14" s="1"/>
  <c r="I234" i="14" l="1"/>
  <c r="J235" i="14" s="1" a="1"/>
  <c r="J235" i="14" s="1"/>
  <c r="I235" i="14" l="1"/>
  <c r="J236" i="14" s="1" a="1"/>
  <c r="J236" i="14" s="1"/>
  <c r="I236" i="14" l="1"/>
  <c r="J237" i="14" s="1" a="1"/>
  <c r="J237" i="14" s="1"/>
  <c r="I237" i="14" l="1"/>
  <c r="J238" i="14" s="1" a="1"/>
  <c r="J238" i="14" s="1"/>
  <c r="I238" i="14" l="1"/>
  <c r="J239" i="14" s="1" a="1"/>
  <c r="J239" i="14" s="1"/>
  <c r="I239" i="14" l="1"/>
  <c r="J240" i="14" s="1" a="1"/>
  <c r="J240" i="14" s="1"/>
  <c r="I240" i="14" l="1"/>
  <c r="J241" i="14" s="1" a="1"/>
  <c r="J241" i="14" s="1"/>
  <c r="I241" i="14" l="1"/>
  <c r="J242" i="14" s="1" a="1"/>
  <c r="J242" i="14" s="1"/>
  <c r="I242" i="14" l="1"/>
  <c r="J243" i="14" s="1" a="1"/>
  <c r="J243" i="14" s="1"/>
  <c r="I243" i="14" l="1"/>
  <c r="J244" i="14" s="1" a="1"/>
  <c r="J244" i="14" s="1"/>
  <c r="I244" i="14" l="1"/>
  <c r="J245" i="14" s="1" a="1"/>
  <c r="J245" i="14" s="1"/>
  <c r="I245" i="14" l="1"/>
  <c r="J246" i="14" s="1" a="1"/>
  <c r="J246" i="14" s="1"/>
  <c r="I246" i="14" l="1"/>
  <c r="J247" i="14" s="1" a="1"/>
  <c r="J247" i="14" s="1"/>
  <c r="I247" i="14" l="1"/>
  <c r="J248" i="14" s="1" a="1"/>
  <c r="J248" i="14" s="1"/>
  <c r="I248" i="14" l="1"/>
  <c r="J249" i="14" s="1" a="1"/>
  <c r="J249" i="14" s="1"/>
  <c r="I249" i="14" l="1"/>
  <c r="J250" i="14" s="1" a="1"/>
  <c r="J250" i="14" s="1"/>
  <c r="I250" i="14" l="1"/>
  <c r="J251" i="14" s="1" a="1"/>
  <c r="J251" i="14" s="1"/>
  <c r="I251" i="14" l="1"/>
  <c r="J252" i="14" s="1" a="1"/>
  <c r="J252" i="14" s="1"/>
  <c r="I252" i="14" l="1"/>
  <c r="J253" i="14" s="1" a="1"/>
  <c r="J253" i="14" s="1"/>
  <c r="I253" i="14" l="1"/>
  <c r="J254" i="14" s="1" a="1"/>
  <c r="J254" i="14" s="1"/>
  <c r="I254" i="14" l="1"/>
  <c r="J255" i="14" s="1" a="1"/>
  <c r="J255" i="14" s="1"/>
  <c r="I255" i="14" l="1"/>
  <c r="J256" i="14" s="1" a="1"/>
  <c r="J256" i="14" s="1"/>
  <c r="I256" i="14" l="1"/>
  <c r="J257" i="14" s="1" a="1"/>
  <c r="J257" i="14" s="1"/>
  <c r="I257" i="14" l="1"/>
  <c r="J258" i="14" s="1" a="1"/>
  <c r="J258" i="14" s="1"/>
  <c r="I258" i="14" l="1"/>
  <c r="J259" i="14" s="1" a="1"/>
  <c r="J259" i="14" s="1"/>
  <c r="I259" i="14" l="1"/>
  <c r="J260" i="14" s="1" a="1"/>
  <c r="J260" i="14" s="1"/>
  <c r="I260" i="14" l="1"/>
  <c r="J261" i="14" s="1" a="1"/>
  <c r="J261" i="14" s="1"/>
  <c r="I261" i="14" l="1"/>
  <c r="J262" i="14" s="1" a="1"/>
  <c r="J262" i="14" s="1"/>
  <c r="I262" i="14" l="1"/>
  <c r="J263" i="14" s="1" a="1"/>
  <c r="J263" i="14" s="1"/>
  <c r="I263" i="14" l="1"/>
  <c r="J264" i="14" s="1" a="1"/>
  <c r="J264" i="14" s="1"/>
  <c r="I264" i="14" l="1"/>
  <c r="J265" i="14" s="1" a="1"/>
  <c r="J265" i="14" s="1"/>
  <c r="I265" i="14" l="1"/>
  <c r="J266" i="14" s="1" a="1"/>
  <c r="J266" i="14" s="1"/>
  <c r="I266" i="14" l="1"/>
  <c r="J267" i="14" s="1" a="1"/>
  <c r="J267" i="14" s="1"/>
  <c r="I267" i="14" l="1"/>
  <c r="J268" i="14" s="1" a="1"/>
  <c r="J268" i="14" s="1"/>
  <c r="I268" i="14" l="1"/>
  <c r="J269" i="14" s="1" a="1"/>
  <c r="J269" i="14" s="1"/>
  <c r="I269" i="14" l="1"/>
  <c r="J270" i="14" s="1" a="1"/>
  <c r="J270" i="14" s="1"/>
  <c r="I270" i="14" l="1"/>
  <c r="J271" i="14" s="1" a="1"/>
  <c r="J271" i="14" s="1"/>
  <c r="I271" i="14" l="1"/>
  <c r="J272" i="14" s="1" a="1"/>
  <c r="J272" i="14" s="1"/>
  <c r="I272" i="14" l="1"/>
  <c r="J273" i="14" s="1" a="1"/>
  <c r="J273" i="14" s="1"/>
  <c r="I273" i="14" l="1"/>
  <c r="J274" i="14" s="1" a="1"/>
  <c r="J274" i="14" s="1"/>
  <c r="I274" i="14" l="1"/>
  <c r="J275" i="14" s="1" a="1"/>
  <c r="J275" i="14" s="1"/>
  <c r="I275" i="14" l="1"/>
  <c r="J276" i="14" s="1" a="1"/>
  <c r="J276" i="14" s="1"/>
  <c r="I276" i="14" l="1"/>
  <c r="J277" i="14" s="1" a="1"/>
  <c r="J277" i="14" s="1"/>
  <c r="I277" i="14" l="1"/>
  <c r="J278" i="14" s="1" a="1"/>
  <c r="J278" i="14" s="1"/>
  <c r="I278" i="14" l="1"/>
  <c r="J279" i="14" s="1" a="1"/>
  <c r="J279" i="14" s="1"/>
  <c r="I279" i="14" l="1"/>
  <c r="J280" i="14" s="1" a="1"/>
  <c r="J280" i="14" s="1"/>
  <c r="I280" i="14" l="1"/>
  <c r="J281" i="14" s="1" a="1"/>
  <c r="J281" i="14" s="1"/>
  <c r="I281" i="14" l="1"/>
  <c r="J282" i="14" s="1" a="1"/>
  <c r="J282" i="14" s="1"/>
  <c r="I282" i="14" l="1"/>
  <c r="J283" i="14" s="1" a="1"/>
  <c r="J283" i="14" s="1"/>
  <c r="I283" i="14" l="1"/>
  <c r="J284" i="14" s="1" a="1"/>
  <c r="J284" i="14" s="1"/>
  <c r="I284" i="14" l="1"/>
  <c r="J285" i="14" s="1" a="1"/>
  <c r="J285" i="14" s="1"/>
  <c r="I285" i="14" l="1"/>
  <c r="J286" i="14" s="1" a="1"/>
  <c r="J286" i="14" s="1"/>
  <c r="I286" i="14" l="1"/>
  <c r="J287" i="14" s="1" a="1"/>
  <c r="J287" i="14" s="1"/>
  <c r="I287" i="14" l="1"/>
  <c r="J288" i="14" s="1" a="1"/>
  <c r="J288" i="14" s="1"/>
  <c r="I288" i="14" l="1"/>
  <c r="J289" i="14" s="1" a="1"/>
  <c r="J289" i="14" s="1"/>
  <c r="I289" i="14" l="1"/>
  <c r="J290" i="14" s="1" a="1"/>
  <c r="J290" i="14" s="1"/>
  <c r="I290" i="14" l="1"/>
  <c r="J291" i="14" s="1" a="1"/>
  <c r="J291" i="14" s="1"/>
  <c r="I291" i="14" l="1"/>
  <c r="J292" i="14" s="1" a="1"/>
  <c r="J292" i="14" s="1"/>
  <c r="I292" i="14" l="1"/>
  <c r="J293" i="14" s="1" a="1"/>
  <c r="J293" i="14" s="1"/>
  <c r="I293" i="14" l="1"/>
  <c r="J294" i="14" s="1" a="1"/>
  <c r="J294" i="14" s="1"/>
  <c r="I294" i="14" l="1"/>
  <c r="J295" i="14" s="1" a="1"/>
  <c r="J295" i="14" s="1"/>
  <c r="I295" i="14" l="1"/>
  <c r="J296" i="14" s="1" a="1"/>
  <c r="J296" i="14" s="1"/>
  <c r="I296" i="14" l="1"/>
  <c r="J297" i="14" s="1" a="1"/>
  <c r="J297" i="14" s="1"/>
  <c r="I297" i="14" l="1"/>
  <c r="J298" i="14" s="1" a="1"/>
  <c r="J298" i="14" s="1"/>
  <c r="I298" i="14" l="1"/>
  <c r="J299" i="14" s="1" a="1"/>
  <c r="J299" i="14" s="1"/>
  <c r="I299" i="14" l="1"/>
  <c r="J300" i="14" s="1" a="1"/>
  <c r="J300" i="14" s="1"/>
  <c r="I300" i="14" l="1"/>
  <c r="J301" i="14" s="1" a="1"/>
  <c r="J301" i="14" s="1"/>
  <c r="I301" i="14" l="1"/>
  <c r="J302" i="14" s="1" a="1"/>
  <c r="J302" i="14" s="1"/>
  <c r="I302" i="14" l="1"/>
  <c r="J303" i="14" s="1" a="1"/>
  <c r="J303" i="14" s="1"/>
  <c r="I303" i="14" l="1"/>
  <c r="J304" i="14" s="1" a="1"/>
  <c r="J304" i="14" s="1"/>
  <c r="I304" i="14" l="1"/>
  <c r="J305" i="14" s="1" a="1"/>
  <c r="J305" i="14" s="1"/>
  <c r="I305" i="14" l="1"/>
  <c r="J306" i="14" s="1" a="1"/>
  <c r="J306" i="14" s="1"/>
  <c r="I306" i="14" l="1"/>
  <c r="J307" i="14" s="1" a="1"/>
  <c r="J307" i="14" s="1"/>
  <c r="I307" i="14" l="1"/>
  <c r="J308" i="14" s="1" a="1"/>
  <c r="J308" i="14" s="1"/>
  <c r="I308" i="14" l="1"/>
  <c r="J309" i="14" s="1" a="1"/>
  <c r="J309" i="14" s="1"/>
  <c r="I309" i="14" l="1"/>
  <c r="J310" i="14" s="1" a="1"/>
  <c r="J310" i="14" s="1"/>
  <c r="I310" i="14" l="1"/>
  <c r="J311" i="14" s="1" a="1"/>
  <c r="J311" i="14" s="1"/>
  <c r="I311" i="14" l="1"/>
  <c r="J312" i="14" s="1" a="1"/>
  <c r="J312" i="14" s="1"/>
  <c r="I312" i="14" l="1"/>
  <c r="J313" i="14" s="1" a="1"/>
  <c r="J313" i="14" s="1"/>
  <c r="I313" i="14" l="1"/>
  <c r="J314" i="14" s="1" a="1"/>
  <c r="J314" i="14" s="1"/>
  <c r="I314" i="14" l="1"/>
  <c r="J315" i="14" s="1" a="1"/>
  <c r="J315" i="14" s="1"/>
  <c r="I315" i="14" l="1"/>
  <c r="J316" i="14" s="1" a="1"/>
  <c r="J316" i="14" s="1"/>
  <c r="I316" i="14" l="1"/>
  <c r="J317" i="14" s="1" a="1"/>
  <c r="J317" i="14" s="1"/>
  <c r="I317" i="14" l="1"/>
  <c r="J318" i="14" s="1" a="1"/>
  <c r="J318" i="14" s="1"/>
  <c r="I318" i="14" l="1"/>
  <c r="J319" i="14" s="1" a="1"/>
  <c r="J319" i="14" s="1"/>
  <c r="I319" i="14" l="1"/>
  <c r="J320" i="14" s="1" a="1"/>
  <c r="J320" i="14" s="1"/>
  <c r="I320" i="14" l="1"/>
  <c r="J321" i="14" s="1" a="1"/>
  <c r="J321" i="14" s="1"/>
  <c r="I321" i="14" l="1"/>
  <c r="J322" i="14" s="1" a="1"/>
  <c r="J322" i="14" s="1"/>
  <c r="I322" i="14" l="1"/>
  <c r="J323" i="14" s="1" a="1"/>
  <c r="J323" i="14" s="1"/>
  <c r="I323" i="14" l="1"/>
  <c r="J324" i="14" s="1" a="1"/>
  <c r="J324" i="14" s="1"/>
  <c r="I324" i="14" l="1"/>
  <c r="J325" i="14" s="1" a="1"/>
  <c r="J325" i="14" s="1"/>
  <c r="I325" i="14" l="1"/>
  <c r="J326" i="14" s="1" a="1"/>
  <c r="J326" i="14" s="1"/>
  <c r="I326" i="14" l="1"/>
  <c r="J327" i="14" s="1" a="1"/>
  <c r="J327" i="14" s="1"/>
  <c r="I327" i="14" l="1"/>
  <c r="J328" i="14" s="1" a="1"/>
  <c r="J328" i="14" s="1"/>
  <c r="I328" i="14" l="1"/>
  <c r="J329" i="14" s="1" a="1"/>
  <c r="J329" i="14" s="1"/>
  <c r="I329" i="14" l="1"/>
  <c r="J330" i="14" s="1" a="1"/>
  <c r="J330" i="14" s="1"/>
  <c r="I330" i="14" l="1"/>
  <c r="J331" i="14" s="1" a="1"/>
  <c r="J331" i="14" s="1"/>
  <c r="I331" i="14" l="1"/>
  <c r="J332" i="14" s="1" a="1"/>
  <c r="J332" i="14" s="1"/>
  <c r="I332" i="14" l="1"/>
  <c r="J333" i="14" s="1" a="1"/>
  <c r="J333" i="14" s="1"/>
  <c r="I333" i="14" l="1"/>
  <c r="J334" i="14" s="1" a="1"/>
  <c r="J334" i="14" s="1"/>
  <c r="I334" i="14" l="1"/>
  <c r="J335" i="14" s="1" a="1"/>
  <c r="J335" i="14" s="1"/>
  <c r="I335" i="14" l="1"/>
  <c r="J336" i="14" s="1" a="1"/>
  <c r="J336" i="14" s="1"/>
  <c r="I336" i="14" l="1"/>
  <c r="J337" i="14" s="1" a="1"/>
  <c r="J337" i="14" s="1"/>
  <c r="I337" i="14" l="1"/>
  <c r="J338" i="14" s="1" a="1"/>
  <c r="J338" i="14" s="1"/>
  <c r="I338" i="14" l="1"/>
  <c r="J339" i="14" s="1" a="1"/>
  <c r="J339" i="14" s="1"/>
  <c r="I339" i="14" l="1"/>
  <c r="J340" i="14" s="1" a="1"/>
  <c r="J340" i="14" s="1"/>
  <c r="I340" i="14" l="1"/>
  <c r="J341" i="14" s="1" a="1"/>
  <c r="J341" i="14" s="1"/>
  <c r="I341" i="14" l="1"/>
  <c r="J342" i="14" s="1" a="1"/>
  <c r="J342" i="14" s="1"/>
  <c r="I342" i="14" l="1"/>
  <c r="J343" i="14" s="1" a="1"/>
  <c r="J343" i="14" s="1"/>
  <c r="I343" i="14" l="1"/>
  <c r="J344" i="14" s="1" a="1"/>
  <c r="J344" i="14" s="1"/>
  <c r="I344" i="14" l="1"/>
  <c r="J345" i="14" s="1" a="1"/>
  <c r="J345" i="14" s="1"/>
  <c r="I345" i="14" l="1"/>
  <c r="J346" i="14" s="1" a="1"/>
  <c r="J346" i="14" s="1"/>
  <c r="I346" i="14" l="1"/>
  <c r="J347" i="14" s="1" a="1"/>
  <c r="J347" i="14" s="1"/>
  <c r="I347" i="14" l="1"/>
  <c r="J348" i="14" s="1" a="1"/>
  <c r="J348" i="14" s="1"/>
  <c r="I348" i="14" l="1"/>
  <c r="J349" i="14" s="1" a="1"/>
  <c r="J349" i="14" s="1"/>
  <c r="I349" i="14" l="1"/>
  <c r="J350" i="14" s="1" a="1"/>
  <c r="J350" i="14" s="1"/>
  <c r="I350" i="14" l="1"/>
  <c r="J351" i="14" s="1" a="1"/>
  <c r="J351" i="14" s="1"/>
  <c r="I351" i="14" l="1"/>
  <c r="J352" i="14" s="1" a="1"/>
  <c r="J352" i="14" s="1"/>
  <c r="I352" i="14" l="1"/>
  <c r="J353" i="14" s="1" a="1"/>
  <c r="J353" i="14" s="1"/>
  <c r="I353" i="14" l="1"/>
  <c r="J354" i="14" s="1" a="1"/>
  <c r="J354" i="14" s="1"/>
  <c r="I354" i="14" l="1"/>
  <c r="J355" i="14" s="1" a="1"/>
  <c r="J355" i="14" s="1"/>
  <c r="I355" i="14" l="1"/>
  <c r="J356" i="14" s="1" a="1"/>
  <c r="J356" i="14" s="1"/>
  <c r="I356" i="14" l="1"/>
  <c r="J357" i="14" s="1" a="1"/>
  <c r="J357" i="14" s="1"/>
  <c r="I357" i="14" l="1"/>
  <c r="J358" i="14" s="1" a="1"/>
  <c r="J358" i="14" s="1"/>
  <c r="I358" i="14" l="1"/>
  <c r="J359" i="14" s="1" a="1"/>
  <c r="J359" i="14" s="1"/>
  <c r="I359" i="14" l="1"/>
  <c r="J360" i="14" s="1" a="1"/>
  <c r="J360" i="14" s="1"/>
  <c r="I360" i="14" l="1"/>
  <c r="J361" i="14" s="1" a="1"/>
  <c r="J361" i="14" s="1"/>
  <c r="I361" i="14" l="1"/>
  <c r="J362" i="14" s="1" a="1"/>
  <c r="J362" i="14" s="1"/>
  <c r="I362" i="14" l="1"/>
  <c r="J363" i="14" s="1" a="1"/>
  <c r="J363" i="14" s="1"/>
  <c r="I363" i="14" l="1"/>
  <c r="J364" i="14" s="1" a="1"/>
  <c r="J364" i="14" s="1"/>
  <c r="I364" i="14" l="1"/>
  <c r="J365" i="14" s="1" a="1"/>
  <c r="J365" i="14" s="1"/>
  <c r="I365" i="14" l="1"/>
  <c r="J366" i="14" s="1" a="1"/>
  <c r="J366" i="14" s="1"/>
  <c r="I366" i="14" l="1"/>
  <c r="J367" i="14" s="1" a="1"/>
  <c r="J367" i="14" s="1"/>
  <c r="I367" i="14" l="1"/>
  <c r="J368" i="14" s="1" a="1"/>
  <c r="J368" i="14" s="1"/>
  <c r="I368" i="14" l="1"/>
  <c r="J369" i="14" s="1" a="1"/>
  <c r="J369" i="14" s="1"/>
  <c r="I369" i="14" l="1"/>
  <c r="J370" i="14" s="1" a="1"/>
  <c r="J370" i="14" s="1"/>
  <c r="I370" i="14" l="1"/>
  <c r="J371" i="14" s="1" a="1"/>
  <c r="J371" i="14" s="1"/>
  <c r="I371" i="14" l="1"/>
  <c r="J372" i="14" s="1" a="1"/>
  <c r="J372" i="14" s="1"/>
  <c r="I372" i="14" l="1"/>
  <c r="J373" i="14" s="1" a="1"/>
  <c r="J373" i="14" s="1"/>
  <c r="I373" i="14" l="1"/>
  <c r="J374" i="14" s="1" a="1"/>
  <c r="J374" i="14" s="1"/>
  <c r="I374" i="14" l="1"/>
  <c r="J375" i="14" s="1" a="1"/>
  <c r="J375" i="14" s="1"/>
  <c r="I375" i="14" l="1"/>
  <c r="J376" i="14" s="1" a="1"/>
  <c r="J376" i="14" s="1"/>
  <c r="I376" i="14" l="1"/>
  <c r="J377" i="14" s="1" a="1"/>
  <c r="J377" i="14" s="1"/>
  <c r="I377" i="14" l="1"/>
  <c r="J378" i="14" s="1" a="1"/>
  <c r="J378" i="14" s="1"/>
  <c r="I378" i="14" l="1"/>
  <c r="J379" i="14" s="1" a="1"/>
  <c r="J379" i="14" s="1"/>
  <c r="I379" i="14" l="1"/>
  <c r="J380" i="14" s="1" a="1"/>
  <c r="J380" i="14" s="1"/>
  <c r="I380" i="14" l="1"/>
  <c r="J381" i="14" s="1" a="1"/>
  <c r="J381" i="14" s="1"/>
  <c r="I381" i="14" l="1"/>
  <c r="J382" i="14" s="1" a="1"/>
  <c r="J382" i="14" s="1"/>
  <c r="I382" i="14" l="1"/>
  <c r="J383" i="14" s="1" a="1"/>
  <c r="J383" i="14" s="1"/>
  <c r="I383" i="14" l="1"/>
  <c r="J384" i="14" s="1" a="1"/>
  <c r="J384" i="14" s="1"/>
  <c r="I384" i="14" l="1"/>
  <c r="J385" i="14" s="1" a="1"/>
  <c r="J385" i="14" s="1"/>
  <c r="I385" i="14" l="1"/>
  <c r="J386" i="14" s="1" a="1"/>
  <c r="J386" i="14" s="1"/>
  <c r="I386" i="14" l="1"/>
  <c r="J387" i="14" s="1" a="1"/>
  <c r="J387" i="14" s="1"/>
  <c r="I387" i="14" l="1"/>
  <c r="J388" i="14" s="1" a="1"/>
  <c r="J388" i="14" s="1"/>
  <c r="I388" i="14" s="1"/>
  <c r="J389" i="14" s="1" a="1"/>
  <c r="J389" i="14" s="1"/>
  <c r="I389" i="14" s="1"/>
  <c r="J390" i="14" s="1" a="1"/>
  <c r="J390" i="14" s="1"/>
  <c r="I390" i="14" s="1"/>
  <c r="D130" i="27" l="1"/>
  <c r="D142" i="27" s="1"/>
  <c r="L142" i="27" s="1"/>
  <c r="G15" i="23"/>
  <c r="H14" i="23"/>
  <c r="H142" i="27" l="1"/>
  <c r="G142" i="27"/>
  <c r="D139" i="27"/>
  <c r="D140" i="27"/>
  <c r="C131" i="27"/>
  <c r="D138" i="27"/>
  <c r="L138" i="27" s="1"/>
  <c r="M138" i="27" s="1"/>
  <c r="D137" i="27"/>
  <c r="M399" i="27"/>
  <c r="M407" i="27"/>
  <c r="C399" i="27"/>
  <c r="L139" i="27"/>
  <c r="M139" i="27" s="1"/>
  <c r="C141" i="27" l="1"/>
  <c r="I141" i="27"/>
  <c r="D132" i="27"/>
  <c r="D131" i="27"/>
  <c r="D133" i="27"/>
  <c r="G133" i="27" s="1"/>
  <c r="C406" i="27"/>
  <c r="D406" i="27" s="1"/>
  <c r="C400" i="27"/>
  <c r="D400" i="27" s="1"/>
  <c r="C405" i="27"/>
  <c r="D405" i="27" s="1"/>
  <c r="C402" i="27"/>
  <c r="D402" i="27" s="1"/>
  <c r="C407" i="27"/>
  <c r="D407" i="27" s="1"/>
  <c r="C404" i="27"/>
  <c r="D404" i="27" s="1"/>
  <c r="C403" i="27"/>
  <c r="D403" i="27" s="1"/>
  <c r="C401" i="27"/>
  <c r="D401" i="27" s="1"/>
  <c r="G139" i="27"/>
  <c r="H139" i="27"/>
  <c r="D399" i="27"/>
  <c r="K407" i="27"/>
  <c r="L407" i="27"/>
  <c r="G140" i="27"/>
  <c r="H140" i="27"/>
  <c r="K399" i="27"/>
  <c r="L399" i="27"/>
  <c r="G138" i="27"/>
  <c r="H138" i="27"/>
  <c r="C136" i="27"/>
  <c r="L131" i="27"/>
  <c r="G137" i="27"/>
  <c r="H137" i="27"/>
  <c r="D141" i="27" l="1"/>
  <c r="H141" i="27" s="1"/>
  <c r="D143" i="27"/>
  <c r="K132" i="27"/>
  <c r="M130" i="27" s="1"/>
  <c r="T399" i="27" a="1"/>
  <c r="T399" i="27" s="1"/>
  <c r="P399" i="27" s="1"/>
  <c r="D136" i="27"/>
  <c r="M136" i="27"/>
  <c r="H131" i="27"/>
  <c r="G131" i="27"/>
  <c r="G141" i="27" l="1"/>
  <c r="K130" i="27"/>
  <c r="L130" i="27"/>
  <c r="G143" i="27"/>
  <c r="H143" i="27"/>
  <c r="D146" i="27"/>
  <c r="K136" i="27"/>
  <c r="Q399" i="27"/>
  <c r="C23" i="41" s="1"/>
  <c r="S399" i="27"/>
  <c r="O399" i="27"/>
  <c r="O23" i="41" s="1"/>
  <c r="R399" i="27"/>
  <c r="D145" i="27"/>
  <c r="L136" i="27"/>
  <c r="H136" i="27"/>
  <c r="G136" i="27"/>
  <c r="G146" i="27" l="1"/>
  <c r="D23" i="41"/>
  <c r="Q23" i="41" s="1"/>
  <c r="H145" i="27"/>
  <c r="G145" i="27"/>
  <c r="R23" i="41" l="1"/>
  <c r="R54" i="41" l="1"/>
  <c r="R56" i="41" s="1"/>
  <c r="R59" i="41" l="1"/>
  <c r="P59" i="41" s="1"/>
  <c r="R58" i="41"/>
  <c r="P58" i="41" s="1"/>
  <c r="R60" i="41" l="1"/>
  <c r="K141" i="27"/>
  <c r="K137" i="27" s="1"/>
  <c r="M141" i="27" l="1"/>
  <c r="L141" i="27"/>
  <c r="M137" i="27"/>
  <c r="K145" i="27"/>
  <c r="M145" i="27" l="1"/>
  <c r="D147" i="27" s="1"/>
  <c r="L145" i="27"/>
  <c r="L137" i="27"/>
  <c r="M147" i="27" l="1"/>
  <c r="G147" i="27"/>
  <c r="H147" i="27"/>
  <c r="U399" i="27" s="1"/>
  <c r="T3" i="27" a="1"/>
  <c r="T3" i="27" s="1"/>
  <c r="G155" i="27" l="1"/>
  <c r="G157" i="27" s="1"/>
  <c r="AA3" i="27" s="1" a="1"/>
  <c r="AA3" i="27" s="1"/>
  <c r="Q3" i="27"/>
  <c r="N3" i="27"/>
  <c r="R3" i="27"/>
  <c r="P3" i="27"/>
  <c r="O3" i="27"/>
  <c r="N399" i="27"/>
  <c r="E23" i="41" s="1"/>
  <c r="B23" i="41" s="1"/>
  <c r="Y54" i="34"/>
  <c r="W54" i="26"/>
  <c r="Y54" i="33"/>
  <c r="AH3" i="27" a="1"/>
  <c r="AH3" i="27" s="1"/>
  <c r="AG3" i="27" l="1"/>
  <c r="AC3" i="27"/>
  <c r="AE3" i="27"/>
  <c r="AF3" i="27"/>
  <c r="AB3" i="27"/>
  <c r="AD3" i="27"/>
  <c r="T4" i="27" a="1"/>
  <c r="T4" i="27" s="1"/>
  <c r="V3" i="27"/>
  <c r="X3" i="27"/>
  <c r="Y3" i="27"/>
  <c r="P23" i="26" s="1"/>
  <c r="U3" i="27"/>
  <c r="E23" i="34" s="1"/>
  <c r="W3" i="27"/>
  <c r="C23" i="26" l="1"/>
  <c r="C23" i="33"/>
  <c r="N23" i="26"/>
  <c r="O23" i="34"/>
  <c r="O23" i="33"/>
  <c r="Q4" i="27"/>
  <c r="N4" i="27"/>
  <c r="O4" i="27"/>
  <c r="P4" i="27"/>
  <c r="S4" i="27"/>
  <c r="R4" i="27"/>
  <c r="C23" i="34"/>
  <c r="AH4" i="27" a="1"/>
  <c r="AH4" i="27" s="1"/>
  <c r="E23" i="33"/>
  <c r="D23" i="26"/>
  <c r="AA4" i="27" a="1"/>
  <c r="AA4" i="27" s="1"/>
  <c r="B23" i="34" l="1"/>
  <c r="D23" i="34"/>
  <c r="W4" i="27"/>
  <c r="Y4" i="27"/>
  <c r="P24" i="26" s="1"/>
  <c r="Z4" i="27"/>
  <c r="U4" i="27"/>
  <c r="E24" i="34" s="1"/>
  <c r="X4" i="27"/>
  <c r="V4" i="27"/>
  <c r="C24" i="34"/>
  <c r="T5" i="27" a="1"/>
  <c r="T5" i="27" s="1"/>
  <c r="B23" i="33"/>
  <c r="D23" i="33"/>
  <c r="AD4" i="27"/>
  <c r="AE4" i="27"/>
  <c r="AB4" i="27"/>
  <c r="AF4" i="27"/>
  <c r="AC4" i="27"/>
  <c r="AG4" i="27"/>
  <c r="B23" i="26"/>
  <c r="Q24" i="26" l="1"/>
  <c r="B24" i="34"/>
  <c r="D24" i="34"/>
  <c r="O24" i="34"/>
  <c r="O24" i="33"/>
  <c r="N24" i="26"/>
  <c r="AH5" i="27" a="1"/>
  <c r="AH5" i="27" s="1"/>
  <c r="C24" i="26"/>
  <c r="C24" i="33"/>
  <c r="E24" i="33"/>
  <c r="D24" i="26"/>
  <c r="AA5" i="27" a="1"/>
  <c r="AA5" i="27" s="1"/>
  <c r="Q23" i="33"/>
  <c r="O5" i="27"/>
  <c r="R5" i="27"/>
  <c r="Q5" i="27"/>
  <c r="N5" i="27"/>
  <c r="P5" i="27"/>
  <c r="B24" i="26" l="1"/>
  <c r="B24" i="33"/>
  <c r="D24" i="33"/>
  <c r="AF5" i="27"/>
  <c r="AG5" i="27"/>
  <c r="AB5" i="27"/>
  <c r="AE5" i="27"/>
  <c r="AD5" i="27"/>
  <c r="AC5" i="27"/>
  <c r="W5" i="27"/>
  <c r="X5" i="27"/>
  <c r="C25" i="34" s="1"/>
  <c r="U5" i="27"/>
  <c r="E25" i="34" s="1"/>
  <c r="V5" i="27"/>
  <c r="Y5" i="27"/>
  <c r="P25" i="26" s="1"/>
  <c r="T6" i="27" a="1"/>
  <c r="T6" i="27" s="1"/>
  <c r="D25" i="34" l="1"/>
  <c r="B25" i="34"/>
  <c r="S6" i="27"/>
  <c r="R6" i="27"/>
  <c r="P6" i="27"/>
  <c r="Q6" i="27"/>
  <c r="N6" i="27"/>
  <c r="O6" i="27"/>
  <c r="O25" i="33"/>
  <c r="O25" i="34"/>
  <c r="N25" i="26"/>
  <c r="AH6" i="27" a="1"/>
  <c r="AH6" i="27" s="1"/>
  <c r="D25" i="26"/>
  <c r="E25" i="33"/>
  <c r="AA6" i="27" a="1"/>
  <c r="AA6" i="27" s="1"/>
  <c r="C25" i="26"/>
  <c r="C25" i="33"/>
  <c r="R24" i="33"/>
  <c r="Q24" i="33"/>
  <c r="B25" i="26" l="1"/>
  <c r="W6" i="27"/>
  <c r="X6" i="27"/>
  <c r="C26" i="34" s="1"/>
  <c r="Z6" i="27"/>
  <c r="Q26" i="26" s="1"/>
  <c r="U6" i="27"/>
  <c r="E26" i="34" s="1"/>
  <c r="V6" i="27"/>
  <c r="Y6" i="27"/>
  <c r="P26" i="26" s="1"/>
  <c r="B25" i="33"/>
  <c r="D25" i="33"/>
  <c r="T7" i="27" a="1"/>
  <c r="T7" i="27" s="1"/>
  <c r="S7" i="27" s="1"/>
  <c r="AD6" i="27"/>
  <c r="AE6" i="27"/>
  <c r="AB6" i="27"/>
  <c r="AC6" i="27"/>
  <c r="AF6" i="27"/>
  <c r="AG6" i="27"/>
  <c r="Q25" i="33" l="1"/>
  <c r="N26" i="26"/>
  <c r="O26" i="33"/>
  <c r="O26" i="34"/>
  <c r="E26" i="33"/>
  <c r="D26" i="26"/>
  <c r="AA7" i="27" a="1"/>
  <c r="AA7" i="27" s="1"/>
  <c r="AH7" i="27" a="1"/>
  <c r="AH7" i="27" s="1"/>
  <c r="N7" i="27"/>
  <c r="R7" i="27"/>
  <c r="P7" i="27"/>
  <c r="Q7" i="27"/>
  <c r="O7" i="27"/>
  <c r="C26" i="33"/>
  <c r="C26" i="26"/>
  <c r="D26" i="34"/>
  <c r="B26" i="34"/>
  <c r="B26" i="26" l="1"/>
  <c r="V7" i="27"/>
  <c r="W7" i="27"/>
  <c r="X7" i="27"/>
  <c r="C27" i="34" s="1"/>
  <c r="Y7" i="27"/>
  <c r="P27" i="26" s="1"/>
  <c r="U7" i="27"/>
  <c r="E27" i="34" s="1"/>
  <c r="B26" i="33"/>
  <c r="D26" i="33"/>
  <c r="AG7" i="27"/>
  <c r="AD7" i="27"/>
  <c r="AE7" i="27"/>
  <c r="AC7" i="27"/>
  <c r="AB7" i="27"/>
  <c r="AF7" i="27"/>
  <c r="T8" i="27" a="1"/>
  <c r="T8" i="27" s="1"/>
  <c r="D27" i="34" l="1"/>
  <c r="B27" i="34"/>
  <c r="Q26" i="33"/>
  <c r="R26" i="33"/>
  <c r="E27" i="33"/>
  <c r="D27" i="26"/>
  <c r="AA8" i="27" a="1"/>
  <c r="AA8" i="27" s="1"/>
  <c r="C27" i="26"/>
  <c r="C27" i="33"/>
  <c r="O8" i="27"/>
  <c r="R8" i="27"/>
  <c r="S8" i="27"/>
  <c r="N8" i="27"/>
  <c r="Q8" i="27"/>
  <c r="P8" i="27"/>
  <c r="AH8" i="27" a="1"/>
  <c r="AH8" i="27" s="1"/>
  <c r="O27" i="34"/>
  <c r="O27" i="33"/>
  <c r="N27" i="26"/>
  <c r="B27" i="26" l="1"/>
  <c r="T9" i="27" a="1"/>
  <c r="T9" i="27" s="1"/>
  <c r="B27" i="33"/>
  <c r="D27" i="33"/>
  <c r="U8" i="27"/>
  <c r="E28" i="34" s="1"/>
  <c r="Y8" i="27"/>
  <c r="P28" i="26" s="1"/>
  <c r="W8" i="27"/>
  <c r="X8" i="27"/>
  <c r="V8" i="27"/>
  <c r="AB8" i="27"/>
  <c r="AC8" i="27"/>
  <c r="AE8" i="27"/>
  <c r="AF8" i="27"/>
  <c r="AD8" i="27"/>
  <c r="AG8" i="27"/>
  <c r="Q27" i="33" l="1"/>
  <c r="C28" i="26"/>
  <c r="C28" i="33"/>
  <c r="O28" i="34"/>
  <c r="N28" i="26"/>
  <c r="O28" i="33"/>
  <c r="AH9" i="27" a="1"/>
  <c r="AH9" i="27" s="1"/>
  <c r="D28" i="26"/>
  <c r="E28" i="33"/>
  <c r="AA9" i="27" a="1"/>
  <c r="AA9" i="27" s="1"/>
  <c r="O9" i="27"/>
  <c r="N9" i="27"/>
  <c r="S9" i="27"/>
  <c r="Q9" i="27"/>
  <c r="R9" i="27"/>
  <c r="P9" i="27"/>
  <c r="C28" i="34"/>
  <c r="B28" i="26" l="1"/>
  <c r="B28" i="33"/>
  <c r="D28" i="33"/>
  <c r="D28" i="34"/>
  <c r="B28" i="34"/>
  <c r="U9" i="27"/>
  <c r="E29" i="34" s="1"/>
  <c r="W9" i="27"/>
  <c r="V9" i="27"/>
  <c r="Z9" i="27"/>
  <c r="Q29" i="26" s="1"/>
  <c r="Y9" i="27"/>
  <c r="P29" i="26" s="1"/>
  <c r="X9" i="27"/>
  <c r="C29" i="34" s="1"/>
  <c r="T10" i="27" a="1"/>
  <c r="T10" i="27" s="1"/>
  <c r="AB9" i="27"/>
  <c r="AE9" i="27"/>
  <c r="AD9" i="27"/>
  <c r="AC9" i="27"/>
  <c r="AF9" i="27"/>
  <c r="AG9" i="27"/>
  <c r="AH10" i="27" l="1" a="1"/>
  <c r="AH10" i="27" s="1"/>
  <c r="D29" i="34"/>
  <c r="B29" i="34"/>
  <c r="R10" i="27"/>
  <c r="O10" i="27"/>
  <c r="Q10" i="27"/>
  <c r="N10" i="27"/>
  <c r="P10" i="27"/>
  <c r="C29" i="33"/>
  <c r="C29" i="26"/>
  <c r="O29" i="34"/>
  <c r="O29" i="33"/>
  <c r="N29" i="26"/>
  <c r="D29" i="26"/>
  <c r="E29" i="33"/>
  <c r="AA10" i="27" a="1"/>
  <c r="AA10" i="27" s="1"/>
  <c r="Q28" i="33"/>
  <c r="B29" i="26" l="1"/>
  <c r="B29" i="33"/>
  <c r="D29" i="33"/>
  <c r="U10" i="27"/>
  <c r="E30" i="34" s="1"/>
  <c r="V10" i="27"/>
  <c r="X10" i="27"/>
  <c r="W10" i="27"/>
  <c r="Z10" i="27"/>
  <c r="Y10" i="27"/>
  <c r="P30" i="26" s="1"/>
  <c r="T11" i="27" a="1"/>
  <c r="T11" i="27" s="1"/>
  <c r="AF10" i="27"/>
  <c r="AC10" i="27"/>
  <c r="AE10" i="27"/>
  <c r="AD10" i="27"/>
  <c r="AB10" i="27"/>
  <c r="AG10" i="27"/>
  <c r="S11" i="27" l="1"/>
  <c r="Q11" i="27"/>
  <c r="O11" i="27"/>
  <c r="P11" i="27"/>
  <c r="R11" i="27"/>
  <c r="N11" i="27"/>
  <c r="C30" i="26"/>
  <c r="C30" i="33"/>
  <c r="C30" i="34"/>
  <c r="AH11" i="27" a="1"/>
  <c r="AH11" i="27" s="1"/>
  <c r="O30" i="34"/>
  <c r="O30" i="33"/>
  <c r="N30" i="26"/>
  <c r="D30" i="26"/>
  <c r="E30" i="33"/>
  <c r="AA11" i="27" a="1"/>
  <c r="AA11" i="27" s="1"/>
  <c r="Q29" i="33"/>
  <c r="R29" i="33"/>
  <c r="B30" i="26" l="1"/>
  <c r="Y11" i="27"/>
  <c r="P31" i="26" s="1"/>
  <c r="W11" i="27"/>
  <c r="X11" i="27"/>
  <c r="C31" i="34" s="1"/>
  <c r="U11" i="27"/>
  <c r="E31" i="34" s="1"/>
  <c r="V11" i="27"/>
  <c r="Z11" i="27"/>
  <c r="Q31" i="26" s="1"/>
  <c r="T12" i="27" a="1"/>
  <c r="T12" i="27" s="1"/>
  <c r="D30" i="34"/>
  <c r="B30" i="34"/>
  <c r="B30" i="33"/>
  <c r="D30" i="33"/>
  <c r="AD11" i="27"/>
  <c r="AF11" i="27"/>
  <c r="AE11" i="27"/>
  <c r="AG11" i="27"/>
  <c r="AB11" i="27"/>
  <c r="AC11" i="27"/>
  <c r="D31" i="34" l="1"/>
  <c r="B31" i="34"/>
  <c r="Q30" i="33"/>
  <c r="O12" i="27"/>
  <c r="P12" i="27"/>
  <c r="R12" i="27"/>
  <c r="N12" i="27"/>
  <c r="Q12" i="27"/>
  <c r="AH12" i="27" a="1"/>
  <c r="AH12" i="27" s="1"/>
  <c r="O31" i="34"/>
  <c r="O31" i="33"/>
  <c r="N31" i="26"/>
  <c r="E31" i="33"/>
  <c r="D31" i="26"/>
  <c r="AA12" i="27" a="1"/>
  <c r="AA12" i="27" s="1"/>
  <c r="C31" i="26"/>
  <c r="C31" i="33"/>
  <c r="B31" i="26" l="1"/>
  <c r="AE12" i="27"/>
  <c r="AF12" i="27"/>
  <c r="AD12" i="27"/>
  <c r="AC12" i="27"/>
  <c r="AB12" i="27"/>
  <c r="AG12" i="27"/>
  <c r="T13" i="27" a="1"/>
  <c r="T13" i="27" s="1"/>
  <c r="B31" i="33"/>
  <c r="D31" i="33"/>
  <c r="W12" i="27"/>
  <c r="U12" i="27"/>
  <c r="X12" i="27"/>
  <c r="C32" i="34" s="1"/>
  <c r="Y12" i="27"/>
  <c r="P32" i="26" s="1"/>
  <c r="V12" i="27"/>
  <c r="D32" i="34" l="1"/>
  <c r="Q13" i="27"/>
  <c r="N13" i="27"/>
  <c r="S13" i="27"/>
  <c r="R13" i="27"/>
  <c r="P13" i="27"/>
  <c r="O13" i="27"/>
  <c r="AH13" i="27" a="1"/>
  <c r="AH13" i="27" s="1"/>
  <c r="E32" i="33"/>
  <c r="D32" i="26"/>
  <c r="AA13" i="27" a="1"/>
  <c r="AA13" i="27" s="1"/>
  <c r="O32" i="34"/>
  <c r="N32" i="26"/>
  <c r="O32" i="33"/>
  <c r="C32" i="33"/>
  <c r="C32" i="26"/>
  <c r="E32" i="34"/>
  <c r="B32" i="34" s="1"/>
  <c r="R31" i="33"/>
  <c r="Q31" i="33"/>
  <c r="B32" i="26" l="1"/>
  <c r="AG13" i="27"/>
  <c r="AC13" i="27"/>
  <c r="AB13" i="27"/>
  <c r="AE13" i="27"/>
  <c r="AF13" i="27"/>
  <c r="AD13" i="27"/>
  <c r="B32" i="33"/>
  <c r="D32" i="33"/>
  <c r="T14" i="27" a="1"/>
  <c r="T14" i="27" s="1"/>
  <c r="X13" i="27"/>
  <c r="C33" i="34" s="1"/>
  <c r="Z13" i="27"/>
  <c r="Q33" i="26" s="1"/>
  <c r="W13" i="27"/>
  <c r="U13" i="27"/>
  <c r="Y13" i="27"/>
  <c r="P33" i="26" s="1"/>
  <c r="V13" i="27"/>
  <c r="AH14" i="27" l="1" a="1"/>
  <c r="AH14" i="27" s="1"/>
  <c r="C33" i="33"/>
  <c r="C33" i="26"/>
  <c r="S14" i="27"/>
  <c r="P14" i="27"/>
  <c r="Q14" i="27"/>
  <c r="N14" i="27"/>
  <c r="O14" i="27"/>
  <c r="R14" i="27"/>
  <c r="Q32" i="33"/>
  <c r="O33" i="34"/>
  <c r="O33" i="33"/>
  <c r="N33" i="26"/>
  <c r="E33" i="33"/>
  <c r="D33" i="26"/>
  <c r="AA14" i="27" a="1"/>
  <c r="AA14" i="27" s="1"/>
  <c r="D33" i="34"/>
  <c r="E33" i="34"/>
  <c r="B33" i="34" s="1"/>
  <c r="B33" i="26" l="1"/>
  <c r="U14" i="27"/>
  <c r="E34" i="34" s="1"/>
  <c r="Y14" i="27"/>
  <c r="P34" i="26" s="1"/>
  <c r="X14" i="27"/>
  <c r="C34" i="34" s="1"/>
  <c r="Z14" i="27"/>
  <c r="Q34" i="26" s="1"/>
  <c r="V14" i="27"/>
  <c r="W14" i="27"/>
  <c r="T15" i="27" a="1"/>
  <c r="T15" i="27" s="1"/>
  <c r="B33" i="33"/>
  <c r="D33" i="33"/>
  <c r="AF14" i="27"/>
  <c r="AE14" i="27"/>
  <c r="AD14" i="27"/>
  <c r="AC14" i="27"/>
  <c r="AG14" i="27"/>
  <c r="AB14" i="27"/>
  <c r="D34" i="34" l="1"/>
  <c r="B34" i="34"/>
  <c r="P15" i="27"/>
  <c r="R15" i="27"/>
  <c r="O15" i="27"/>
  <c r="N15" i="27"/>
  <c r="S15" i="27"/>
  <c r="Q15" i="27"/>
  <c r="O34" i="34"/>
  <c r="N34" i="26"/>
  <c r="O34" i="33"/>
  <c r="Q33" i="33"/>
  <c r="R33" i="33"/>
  <c r="AH15" i="27" a="1"/>
  <c r="AH15" i="27" s="1"/>
  <c r="C34" i="33"/>
  <c r="C34" i="26"/>
  <c r="D34" i="26"/>
  <c r="E34" i="33"/>
  <c r="AA15" i="27" a="1"/>
  <c r="AA15" i="27" s="1"/>
  <c r="AE15" i="27" l="1"/>
  <c r="AB15" i="27"/>
  <c r="AG15" i="27"/>
  <c r="AD15" i="27"/>
  <c r="AC15" i="27"/>
  <c r="AF15" i="27"/>
  <c r="T16" i="27" a="1"/>
  <c r="T16" i="27" s="1"/>
  <c r="B34" i="26"/>
  <c r="B34" i="33"/>
  <c r="D34" i="33"/>
  <c r="W15" i="27"/>
  <c r="Y15" i="27"/>
  <c r="P35" i="26" s="1"/>
  <c r="U15" i="27"/>
  <c r="V15" i="27"/>
  <c r="X15" i="27"/>
  <c r="Z15" i="27"/>
  <c r="Q35" i="26" s="1"/>
  <c r="R34" i="33" l="1"/>
  <c r="Q34" i="33"/>
  <c r="AH16" i="27" a="1"/>
  <c r="AH16" i="27" s="1"/>
  <c r="N16" i="27"/>
  <c r="S16" i="27"/>
  <c r="Q16" i="27"/>
  <c r="R16" i="27"/>
  <c r="O16" i="27"/>
  <c r="P16" i="27"/>
  <c r="C35" i="26"/>
  <c r="C35" i="33"/>
  <c r="O35" i="34"/>
  <c r="N35" i="26"/>
  <c r="O35" i="33"/>
  <c r="C35" i="34"/>
  <c r="E35" i="33"/>
  <c r="D35" i="26"/>
  <c r="AA16" i="27" a="1"/>
  <c r="AA16" i="27" s="1"/>
  <c r="E35" i="34"/>
  <c r="V16" i="27" l="1"/>
  <c r="U16" i="27"/>
  <c r="E36" i="34" s="1"/>
  <c r="Y16" i="27"/>
  <c r="P36" i="26" s="1"/>
  <c r="X16" i="27"/>
  <c r="W16" i="27"/>
  <c r="T17" i="27" a="1"/>
  <c r="T17" i="27" s="1"/>
  <c r="B35" i="33"/>
  <c r="D35" i="33"/>
  <c r="AB16" i="27"/>
  <c r="AG16" i="27"/>
  <c r="AE16" i="27"/>
  <c r="AF16" i="27"/>
  <c r="AC16" i="27"/>
  <c r="AD16" i="27"/>
  <c r="D35" i="34"/>
  <c r="B35" i="34"/>
  <c r="B35" i="26"/>
  <c r="AH17" i="27" l="1" a="1"/>
  <c r="AH17" i="27" s="1"/>
  <c r="R35" i="33"/>
  <c r="Q35" i="33"/>
  <c r="R17" i="27"/>
  <c r="S17" i="27"/>
  <c r="Q17" i="27"/>
  <c r="P17" i="27"/>
  <c r="N17" i="27"/>
  <c r="O17" i="27"/>
  <c r="C36" i="26"/>
  <c r="C36" i="33"/>
  <c r="D36" i="26"/>
  <c r="E36" i="33"/>
  <c r="AA17" i="27" a="1"/>
  <c r="AA17" i="27" s="1"/>
  <c r="N36" i="26"/>
  <c r="O36" i="34"/>
  <c r="O36" i="33"/>
  <c r="C36" i="34"/>
  <c r="B36" i="26" l="1"/>
  <c r="V17" i="27"/>
  <c r="Z17" i="27"/>
  <c r="Q37" i="26" s="1"/>
  <c r="U17" i="27"/>
  <c r="E37" i="34" s="1"/>
  <c r="X17" i="27"/>
  <c r="C37" i="34" s="1"/>
  <c r="Y17" i="27"/>
  <c r="P37" i="26" s="1"/>
  <c r="W17" i="27"/>
  <c r="AF17" i="27"/>
  <c r="AE17" i="27"/>
  <c r="AC17" i="27"/>
  <c r="AG17" i="27"/>
  <c r="AB17" i="27"/>
  <c r="AD17" i="27"/>
  <c r="B36" i="33"/>
  <c r="D36" i="33"/>
  <c r="T18" i="27" a="1"/>
  <c r="T18" i="27" s="1"/>
  <c r="D36" i="34"/>
  <c r="B36" i="34"/>
  <c r="Q18" i="27" l="1"/>
  <c r="N18" i="27"/>
  <c r="P18" i="27"/>
  <c r="O18" i="27"/>
  <c r="R18" i="27"/>
  <c r="AH18" i="27" a="1"/>
  <c r="AH18" i="27" s="1"/>
  <c r="C37" i="33"/>
  <c r="C37" i="26"/>
  <c r="D37" i="34"/>
  <c r="B37" i="34"/>
  <c r="D37" i="26"/>
  <c r="E37" i="33"/>
  <c r="AA18" i="27" a="1"/>
  <c r="AA18" i="27" s="1"/>
  <c r="Q36" i="33"/>
  <c r="O37" i="34"/>
  <c r="O37" i="33"/>
  <c r="N37" i="26"/>
  <c r="U18" i="27" l="1"/>
  <c r="V18" i="27"/>
  <c r="X18" i="27"/>
  <c r="Z18" i="27"/>
  <c r="Y18" i="27"/>
  <c r="P38" i="26" s="1"/>
  <c r="W18" i="27"/>
  <c r="AD18" i="27"/>
  <c r="AF18" i="27"/>
  <c r="AG18" i="27"/>
  <c r="AE18" i="27"/>
  <c r="AB18" i="27"/>
  <c r="AC18" i="27"/>
  <c r="B37" i="26"/>
  <c r="B37" i="33"/>
  <c r="D37" i="33"/>
  <c r="T19" i="27" a="1"/>
  <c r="T19" i="27" s="1"/>
  <c r="C38" i="33" l="1"/>
  <c r="C38" i="26"/>
  <c r="AH19" i="27" a="1"/>
  <c r="AH19" i="27" s="1"/>
  <c r="N38" i="26"/>
  <c r="O38" i="34"/>
  <c r="O38" i="33"/>
  <c r="D38" i="26"/>
  <c r="E38" i="33"/>
  <c r="AA19" i="27" a="1"/>
  <c r="AA19" i="27" s="1"/>
  <c r="C38" i="34"/>
  <c r="O19" i="27"/>
  <c r="P19" i="27"/>
  <c r="S19" i="27"/>
  <c r="R19" i="27"/>
  <c r="Q19" i="27"/>
  <c r="N19" i="27"/>
  <c r="E38" i="34"/>
  <c r="R37" i="33"/>
  <c r="Q37" i="33"/>
  <c r="AB19" i="27" l="1"/>
  <c r="AF19" i="27"/>
  <c r="AG19" i="27"/>
  <c r="AC19" i="27"/>
  <c r="AE19" i="27"/>
  <c r="AD19" i="27"/>
  <c r="D38" i="34"/>
  <c r="B38" i="34"/>
  <c r="V19" i="27"/>
  <c r="Z19" i="27"/>
  <c r="Q39" i="26" s="1"/>
  <c r="Y19" i="27"/>
  <c r="P39" i="26" s="1"/>
  <c r="X19" i="27"/>
  <c r="W19" i="27"/>
  <c r="U19" i="27"/>
  <c r="E39" i="34" s="1"/>
  <c r="T20" i="27" a="1"/>
  <c r="T20" i="27" s="1"/>
  <c r="B38" i="26"/>
  <c r="B38" i="33"/>
  <c r="D38" i="33"/>
  <c r="O39" i="34" l="1"/>
  <c r="N39" i="26"/>
  <c r="O39" i="33"/>
  <c r="Q38" i="33"/>
  <c r="AH20" i="27" a="1"/>
  <c r="AH20" i="27" s="1"/>
  <c r="C39" i="26"/>
  <c r="C39" i="33"/>
  <c r="C39" i="34"/>
  <c r="R20" i="27"/>
  <c r="S20" i="27"/>
  <c r="O20" i="27"/>
  <c r="P20" i="27"/>
  <c r="N20" i="27"/>
  <c r="Q20" i="27"/>
  <c r="D39" i="26"/>
  <c r="E39" i="33"/>
  <c r="AA20" i="27" a="1"/>
  <c r="AA20" i="27" s="1"/>
  <c r="B39" i="26" l="1"/>
  <c r="V20" i="27"/>
  <c r="Z20" i="27"/>
  <c r="Q40" i="26" s="1"/>
  <c r="Y20" i="27"/>
  <c r="P40" i="26" s="1"/>
  <c r="U20" i="27"/>
  <c r="E40" i="34" s="1"/>
  <c r="X20" i="27"/>
  <c r="C40" i="34" s="1"/>
  <c r="W20" i="27"/>
  <c r="T21" i="27" a="1"/>
  <c r="T21" i="27" s="1"/>
  <c r="B39" i="33"/>
  <c r="D39" i="33"/>
  <c r="D39" i="34"/>
  <c r="B39" i="34"/>
  <c r="AG20" i="27"/>
  <c r="AD20" i="27"/>
  <c r="AF20" i="27"/>
  <c r="AC20" i="27"/>
  <c r="AE20" i="27"/>
  <c r="AB20" i="27"/>
  <c r="B40" i="34" l="1"/>
  <c r="D40" i="34"/>
  <c r="S21" i="27"/>
  <c r="O21" i="27"/>
  <c r="Q21" i="27"/>
  <c r="R21" i="27"/>
  <c r="N21" i="27"/>
  <c r="P21" i="27"/>
  <c r="C40" i="33"/>
  <c r="C40" i="26"/>
  <c r="R39" i="33"/>
  <c r="Q39" i="33"/>
  <c r="AH21" i="27" a="1"/>
  <c r="AH21" i="27" s="1"/>
  <c r="D40" i="26"/>
  <c r="E40" i="33"/>
  <c r="AA21" i="27" a="1"/>
  <c r="AA21" i="27" s="1"/>
  <c r="N40" i="26"/>
  <c r="O40" i="34"/>
  <c r="O40" i="33"/>
  <c r="AF21" i="27" l="1"/>
  <c r="AE21" i="27"/>
  <c r="AC21" i="27"/>
  <c r="AB21" i="27"/>
  <c r="AG21" i="27"/>
  <c r="AD21" i="27"/>
  <c r="B40" i="26"/>
  <c r="W21" i="27"/>
  <c r="V21" i="27"/>
  <c r="Z21" i="27"/>
  <c r="Q41" i="26" s="1"/>
  <c r="Y21" i="27"/>
  <c r="P41" i="26" s="1"/>
  <c r="U21" i="27"/>
  <c r="E41" i="34" s="1"/>
  <c r="X21" i="27"/>
  <c r="B40" i="33"/>
  <c r="D40" i="33"/>
  <c r="T22" i="27" a="1"/>
  <c r="T22" i="27" s="1"/>
  <c r="AH22" i="27" l="1" a="1"/>
  <c r="AH22" i="27" s="1"/>
  <c r="R40" i="33"/>
  <c r="Q40" i="33"/>
  <c r="C41" i="26"/>
  <c r="C41" i="33"/>
  <c r="E41" i="33"/>
  <c r="D41" i="26"/>
  <c r="AA22" i="27" a="1"/>
  <c r="AA22" i="27" s="1"/>
  <c r="S22" i="27"/>
  <c r="R22" i="27"/>
  <c r="Q22" i="27"/>
  <c r="O22" i="27"/>
  <c r="N22" i="27"/>
  <c r="P22" i="27"/>
  <c r="C41" i="34"/>
  <c r="O41" i="33"/>
  <c r="O41" i="34"/>
  <c r="N41" i="26"/>
  <c r="B41" i="34" l="1"/>
  <c r="D41" i="34"/>
  <c r="B41" i="33"/>
  <c r="D41" i="33"/>
  <c r="W22" i="27"/>
  <c r="U22" i="27"/>
  <c r="E42" i="34" s="1"/>
  <c r="Y22" i="27"/>
  <c r="P42" i="26" s="1"/>
  <c r="Z22" i="27"/>
  <c r="Q42" i="26" s="1"/>
  <c r="V22" i="27"/>
  <c r="X22" i="27"/>
  <c r="C42" i="34" s="1"/>
  <c r="B41" i="26"/>
  <c r="T23" i="27" a="1"/>
  <c r="T23" i="27" s="1"/>
  <c r="AC22" i="27"/>
  <c r="AF22" i="27"/>
  <c r="AB22" i="27"/>
  <c r="AE22" i="27"/>
  <c r="AD22" i="27"/>
  <c r="AG22" i="27"/>
  <c r="D42" i="26" l="1"/>
  <c r="E42" i="33"/>
  <c r="AA23" i="27" a="1"/>
  <c r="AA23" i="27" s="1"/>
  <c r="AH23" i="27" a="1"/>
  <c r="AH23" i="27" s="1"/>
  <c r="P23" i="27"/>
  <c r="N23" i="27"/>
  <c r="R23" i="27"/>
  <c r="O23" i="27"/>
  <c r="Q23" i="27"/>
  <c r="Q41" i="33"/>
  <c r="R41" i="33"/>
  <c r="B42" i="34"/>
  <c r="D42" i="34"/>
  <c r="C42" i="26"/>
  <c r="C42" i="33"/>
  <c r="O42" i="34"/>
  <c r="N42" i="26"/>
  <c r="O42" i="33"/>
  <c r="AG23" i="27" l="1"/>
  <c r="AB23" i="27"/>
  <c r="AD23" i="27"/>
  <c r="AE23" i="27"/>
  <c r="AF23" i="27"/>
  <c r="AC23" i="27"/>
  <c r="Y23" i="27"/>
  <c r="P43" i="26" s="1"/>
  <c r="Z23" i="27"/>
  <c r="W23" i="27"/>
  <c r="U23" i="27"/>
  <c r="E43" i="34" s="1"/>
  <c r="V23" i="27"/>
  <c r="X23" i="27"/>
  <c r="C43" i="34" s="1"/>
  <c r="B42" i="33"/>
  <c r="D42" i="33"/>
  <c r="T24" i="27" a="1"/>
  <c r="T24" i="27" s="1"/>
  <c r="B42" i="26"/>
  <c r="D43" i="34" l="1"/>
  <c r="B43" i="34"/>
  <c r="R42" i="33"/>
  <c r="Q42" i="33"/>
  <c r="AH24" i="27" a="1"/>
  <c r="AH24" i="27" s="1"/>
  <c r="C43" i="33"/>
  <c r="C43" i="26"/>
  <c r="O43" i="33"/>
  <c r="O43" i="34"/>
  <c r="N43" i="26"/>
  <c r="D43" i="26"/>
  <c r="E43" i="33"/>
  <c r="AA24" i="27" a="1"/>
  <c r="AA24" i="27" s="1"/>
  <c r="Q24" i="27"/>
  <c r="N24" i="27"/>
  <c r="O24" i="27"/>
  <c r="P24" i="27"/>
  <c r="R24" i="27"/>
  <c r="S24" i="27"/>
  <c r="AG24" i="27" l="1"/>
  <c r="AF24" i="27"/>
  <c r="AD24" i="27"/>
  <c r="AE24" i="27"/>
  <c r="AC24" i="27"/>
  <c r="AB24" i="27"/>
  <c r="W24" i="27"/>
  <c r="V24" i="27"/>
  <c r="U24" i="27"/>
  <c r="E44" i="34" s="1"/>
  <c r="X24" i="27"/>
  <c r="C44" i="34" s="1"/>
  <c r="Z24" i="27"/>
  <c r="Q44" i="26" s="1"/>
  <c r="Y24" i="27"/>
  <c r="P44" i="26" s="1"/>
  <c r="B43" i="26"/>
  <c r="B43" i="33"/>
  <c r="D43" i="33"/>
  <c r="T25" i="27" a="1"/>
  <c r="T25" i="27" s="1"/>
  <c r="D44" i="26" l="1"/>
  <c r="E44" i="33"/>
  <c r="AA25" i="27" a="1"/>
  <c r="AA25" i="27" s="1"/>
  <c r="S25" i="27"/>
  <c r="R25" i="27"/>
  <c r="N25" i="27"/>
  <c r="Q25" i="27"/>
  <c r="P25" i="27"/>
  <c r="O25" i="27"/>
  <c r="C44" i="26"/>
  <c r="C44" i="33"/>
  <c r="N44" i="26"/>
  <c r="O44" i="34"/>
  <c r="O44" i="33"/>
  <c r="AH25" i="27" a="1"/>
  <c r="AH25" i="27" s="1"/>
  <c r="D44" i="34"/>
  <c r="B44" i="34"/>
  <c r="Q43" i="33"/>
  <c r="B44" i="26" l="1"/>
  <c r="T26" i="27" a="1"/>
  <c r="T26" i="27" s="1"/>
  <c r="Z25" i="27"/>
  <c r="Q45" i="26" s="1"/>
  <c r="V25" i="27"/>
  <c r="Y25" i="27"/>
  <c r="P45" i="26" s="1"/>
  <c r="U25" i="27"/>
  <c r="W25" i="27"/>
  <c r="X25" i="27"/>
  <c r="C45" i="34" s="1"/>
  <c r="AE25" i="27"/>
  <c r="AD25" i="27"/>
  <c r="AF25" i="27"/>
  <c r="AB25" i="27"/>
  <c r="AC25" i="27"/>
  <c r="AG25" i="27"/>
  <c r="B44" i="33"/>
  <c r="D44" i="33"/>
  <c r="C45" i="33" l="1"/>
  <c r="C45" i="26"/>
  <c r="D45" i="26"/>
  <c r="E45" i="33"/>
  <c r="AA26" i="27" a="1"/>
  <c r="AA26" i="27" s="1"/>
  <c r="R26" i="27"/>
  <c r="Q26" i="27"/>
  <c r="S26" i="27"/>
  <c r="P26" i="27"/>
  <c r="N26" i="27"/>
  <c r="O26" i="27"/>
  <c r="AH26" i="27" a="1"/>
  <c r="AH26" i="27" s="1"/>
  <c r="D45" i="34"/>
  <c r="R44" i="33"/>
  <c r="Q44" i="33"/>
  <c r="N45" i="26"/>
  <c r="O45" i="34"/>
  <c r="O45" i="33"/>
  <c r="E45" i="34"/>
  <c r="B45" i="34" s="1"/>
  <c r="B45" i="26" l="1"/>
  <c r="B45" i="33"/>
  <c r="D45" i="33"/>
  <c r="T27" i="27" a="1"/>
  <c r="T27" i="27" s="1"/>
  <c r="AB26" i="27"/>
  <c r="AF26" i="27"/>
  <c r="AD26" i="27"/>
  <c r="AE26" i="27"/>
  <c r="AG26" i="27"/>
  <c r="AC26" i="27"/>
  <c r="W26" i="27"/>
  <c r="Z26" i="27"/>
  <c r="Q46" i="26" s="1"/>
  <c r="Y26" i="27"/>
  <c r="P46" i="26" s="1"/>
  <c r="U26" i="27"/>
  <c r="E46" i="34" s="1"/>
  <c r="V26" i="27"/>
  <c r="X26" i="27"/>
  <c r="C46" i="34" s="1"/>
  <c r="C46" i="33" l="1"/>
  <c r="C46" i="26"/>
  <c r="AH27" i="27" a="1"/>
  <c r="AH27" i="27" s="1"/>
  <c r="N46" i="26"/>
  <c r="O46" i="33"/>
  <c r="O46" i="34"/>
  <c r="E46" i="33"/>
  <c r="D46" i="26"/>
  <c r="AA27" i="27" a="1"/>
  <c r="AA27" i="27" s="1"/>
  <c r="O27" i="27"/>
  <c r="S27" i="27"/>
  <c r="R27" i="27"/>
  <c r="Q27" i="27"/>
  <c r="N27" i="27"/>
  <c r="P27" i="27"/>
  <c r="B46" i="34"/>
  <c r="D46" i="34"/>
  <c r="Q45" i="33"/>
  <c r="R45" i="33"/>
  <c r="B46" i="26" l="1"/>
  <c r="B46" i="33"/>
  <c r="D46" i="33"/>
  <c r="T28" i="27" a="1"/>
  <c r="T28" i="27" s="1"/>
  <c r="AG27" i="27"/>
  <c r="AC27" i="27"/>
  <c r="AB27" i="27"/>
  <c r="AE27" i="27"/>
  <c r="AF27" i="27"/>
  <c r="AD27" i="27"/>
  <c r="Y27" i="27"/>
  <c r="P47" i="26" s="1"/>
  <c r="V27" i="27"/>
  <c r="X27" i="27"/>
  <c r="C47" i="34" s="1"/>
  <c r="Z27" i="27"/>
  <c r="Q47" i="26" s="1"/>
  <c r="U27" i="27"/>
  <c r="E47" i="34" s="1"/>
  <c r="W27" i="27"/>
  <c r="D47" i="34" l="1"/>
  <c r="B47" i="34"/>
  <c r="AH28" i="27" a="1"/>
  <c r="AH28" i="27" s="1"/>
  <c r="S28" i="27"/>
  <c r="N28" i="27"/>
  <c r="R28" i="27"/>
  <c r="P28" i="27"/>
  <c r="Q28" i="27"/>
  <c r="O28" i="27"/>
  <c r="D47" i="26"/>
  <c r="E47" i="33"/>
  <c r="AA28" i="27" a="1"/>
  <c r="AA28" i="27" s="1"/>
  <c r="C47" i="33"/>
  <c r="C47" i="26"/>
  <c r="R46" i="33"/>
  <c r="Q46" i="33"/>
  <c r="O47" i="34"/>
  <c r="O47" i="33"/>
  <c r="N47" i="26"/>
  <c r="B47" i="26" l="1"/>
  <c r="B47" i="33"/>
  <c r="D47" i="33"/>
  <c r="T29" i="27" a="1"/>
  <c r="T29" i="27" s="1"/>
  <c r="V28" i="27"/>
  <c r="U28" i="27"/>
  <c r="E48" i="34" s="1"/>
  <c r="Y28" i="27"/>
  <c r="P48" i="26" s="1"/>
  <c r="W28" i="27"/>
  <c r="Z28" i="27"/>
  <c r="Q48" i="26" s="1"/>
  <c r="X28" i="27"/>
  <c r="C48" i="34" s="1"/>
  <c r="AD28" i="27"/>
  <c r="AG28" i="27"/>
  <c r="AE28" i="27"/>
  <c r="AC28" i="27"/>
  <c r="AB28" i="27"/>
  <c r="AF28" i="27"/>
  <c r="AH29" i="27" l="1" a="1"/>
  <c r="AH29" i="27" s="1"/>
  <c r="R47" i="33"/>
  <c r="Q47" i="33"/>
  <c r="C48" i="26"/>
  <c r="C48" i="33"/>
  <c r="B48" i="34"/>
  <c r="D48" i="34"/>
  <c r="D48" i="26"/>
  <c r="E48" i="33"/>
  <c r="AA29" i="27" a="1"/>
  <c r="AA29" i="27" s="1"/>
  <c r="N48" i="26"/>
  <c r="O48" i="34"/>
  <c r="O48" i="33"/>
  <c r="O29" i="27"/>
  <c r="R29" i="27"/>
  <c r="S29" i="27"/>
  <c r="Q29" i="27"/>
  <c r="N29" i="27"/>
  <c r="P29" i="27"/>
  <c r="B48" i="26" l="1"/>
  <c r="T30" i="27" a="1"/>
  <c r="T30" i="27" s="1"/>
  <c r="B48" i="33"/>
  <c r="D48" i="33"/>
  <c r="U29" i="27"/>
  <c r="E49" i="34" s="1"/>
  <c r="Y29" i="27"/>
  <c r="P49" i="26" s="1"/>
  <c r="V29" i="27"/>
  <c r="Z29" i="27"/>
  <c r="Q49" i="26" s="1"/>
  <c r="W29" i="27"/>
  <c r="X29" i="27"/>
  <c r="C49" i="34" s="1"/>
  <c r="AB29" i="27"/>
  <c r="AE29" i="27"/>
  <c r="AD29" i="27"/>
  <c r="AG29" i="27"/>
  <c r="AC29" i="27"/>
  <c r="AF29" i="27"/>
  <c r="R30" i="27" l="1"/>
  <c r="Q30" i="27"/>
  <c r="S30" i="27"/>
  <c r="P30" i="27"/>
  <c r="N30" i="27"/>
  <c r="O30" i="27"/>
  <c r="O49" i="34"/>
  <c r="O49" i="33"/>
  <c r="N49" i="26"/>
  <c r="E49" i="33"/>
  <c r="D49" i="26"/>
  <c r="AA30" i="27" a="1"/>
  <c r="AA30" i="27" s="1"/>
  <c r="R48" i="33"/>
  <c r="Q48" i="33"/>
  <c r="AH30" i="27" a="1"/>
  <c r="AH30" i="27" s="1"/>
  <c r="B49" i="34"/>
  <c r="D49" i="34"/>
  <c r="C49" i="33"/>
  <c r="C49" i="26"/>
  <c r="B49" i="26" l="1"/>
  <c r="U30" i="27"/>
  <c r="E50" i="34" s="1"/>
  <c r="W30" i="27"/>
  <c r="Z30" i="27"/>
  <c r="Q50" i="26" s="1"/>
  <c r="Y30" i="27"/>
  <c r="P50" i="26" s="1"/>
  <c r="X30" i="27"/>
  <c r="V30" i="27"/>
  <c r="AB30" i="27"/>
  <c r="AC30" i="27"/>
  <c r="AF30" i="27"/>
  <c r="AE30" i="27"/>
  <c r="AG30" i="27"/>
  <c r="AD30" i="27"/>
  <c r="T31" i="27" a="1"/>
  <c r="T31" i="27" s="1"/>
  <c r="B49" i="33"/>
  <c r="D49" i="33"/>
  <c r="O50" i="33" l="1"/>
  <c r="O50" i="34"/>
  <c r="N50" i="26"/>
  <c r="R31" i="27"/>
  <c r="P31" i="27"/>
  <c r="O31" i="27"/>
  <c r="N31" i="27"/>
  <c r="Q31" i="27"/>
  <c r="S31" i="27"/>
  <c r="C50" i="26"/>
  <c r="C50" i="33"/>
  <c r="C50" i="34"/>
  <c r="R49" i="33"/>
  <c r="Q49" i="33"/>
  <c r="AH31" i="27" a="1"/>
  <c r="AH31" i="27" s="1"/>
  <c r="D50" i="26"/>
  <c r="E50" i="33"/>
  <c r="AA31" i="27" a="1"/>
  <c r="AA31" i="27" s="1"/>
  <c r="V31" i="27" l="1"/>
  <c r="Y31" i="27"/>
  <c r="P51" i="26" s="1"/>
  <c r="U31" i="27"/>
  <c r="E51" i="34" s="1"/>
  <c r="Z31" i="27"/>
  <c r="Q51" i="26" s="1"/>
  <c r="W31" i="27"/>
  <c r="X31" i="27"/>
  <c r="D50" i="34"/>
  <c r="B50" i="34"/>
  <c r="AG31" i="27"/>
  <c r="AC31" i="27"/>
  <c r="AF31" i="27"/>
  <c r="AE31" i="27"/>
  <c r="AB31" i="27"/>
  <c r="AD31" i="27"/>
  <c r="B50" i="26"/>
  <c r="B50" i="33"/>
  <c r="D50" i="33"/>
  <c r="T32" i="27" a="1"/>
  <c r="T32" i="27" s="1"/>
  <c r="C51" i="33" l="1"/>
  <c r="C51" i="26"/>
  <c r="R32" i="27"/>
  <c r="S32" i="27"/>
  <c r="P32" i="27"/>
  <c r="N32" i="27"/>
  <c r="Q32" i="27"/>
  <c r="O32" i="27"/>
  <c r="C51" i="34"/>
  <c r="Q50" i="33"/>
  <c r="R50" i="33"/>
  <c r="D51" i="26"/>
  <c r="E51" i="33"/>
  <c r="AA32" i="27" a="1"/>
  <c r="AA32" i="27" s="1"/>
  <c r="AH32" i="27" a="1"/>
  <c r="AH32" i="27" s="1"/>
  <c r="O51" i="34"/>
  <c r="O51" i="33"/>
  <c r="N51" i="26"/>
  <c r="B51" i="34" l="1"/>
  <c r="D51" i="34"/>
  <c r="X32" i="27"/>
  <c r="C52" i="34" s="1"/>
  <c r="Z32" i="27"/>
  <c r="Q52" i="26" s="1"/>
  <c r="V32" i="27"/>
  <c r="U32" i="27"/>
  <c r="W32" i="27"/>
  <c r="Y32" i="27"/>
  <c r="P52" i="26" s="1"/>
  <c r="AB32" i="27"/>
  <c r="AF32" i="27"/>
  <c r="AG32" i="27"/>
  <c r="AE32" i="27"/>
  <c r="AD32" i="27"/>
  <c r="AC32" i="27"/>
  <c r="T33" i="27" a="1"/>
  <c r="T33" i="27" s="1"/>
  <c r="B51" i="26"/>
  <c r="B51" i="33"/>
  <c r="D51" i="33"/>
  <c r="E52" i="33" l="1"/>
  <c r="D52" i="26"/>
  <c r="AA33" i="27" a="1"/>
  <c r="AA33" i="27" s="1"/>
  <c r="E52" i="34"/>
  <c r="B52" i="34" s="1"/>
  <c r="D52" i="34"/>
  <c r="C52" i="33"/>
  <c r="C52" i="26"/>
  <c r="R51" i="33"/>
  <c r="Q51" i="33"/>
  <c r="O52" i="34"/>
  <c r="N52" i="26"/>
  <c r="O52" i="33"/>
  <c r="O33" i="27"/>
  <c r="P33" i="27"/>
  <c r="N33" i="27"/>
  <c r="S33" i="27"/>
  <c r="Q33" i="27"/>
  <c r="R33" i="27"/>
  <c r="AH33" i="27" a="1"/>
  <c r="AH33" i="27" s="1"/>
  <c r="B52" i="26" l="1"/>
  <c r="T34" i="27" a="1"/>
  <c r="T34" i="27" s="1"/>
  <c r="AB33" i="27"/>
  <c r="AC33" i="27"/>
  <c r="AG33" i="27"/>
  <c r="AD33" i="27"/>
  <c r="AE33" i="27"/>
  <c r="AF33" i="27"/>
  <c r="B52" i="33"/>
  <c r="D52" i="33"/>
  <c r="X33" i="27"/>
  <c r="C53" i="34" s="1"/>
  <c r="Y33" i="27"/>
  <c r="P53" i="26" s="1"/>
  <c r="Z33" i="27"/>
  <c r="Q53" i="26" s="1"/>
  <c r="W33" i="27"/>
  <c r="V33" i="27"/>
  <c r="U33" i="27"/>
  <c r="E53" i="34" s="1"/>
  <c r="C53" i="33" l="1"/>
  <c r="C53" i="26"/>
  <c r="R52" i="33"/>
  <c r="Q52" i="33"/>
  <c r="B53" i="34"/>
  <c r="D53" i="34"/>
  <c r="E53" i="33"/>
  <c r="D53" i="26"/>
  <c r="O53" i="34"/>
  <c r="O53" i="33"/>
  <c r="N53" i="26"/>
  <c r="N34" i="27"/>
  <c r="V23" i="26" s="1"/>
  <c r="R34" i="27"/>
  <c r="P34" i="27"/>
  <c r="Q34" i="27"/>
  <c r="U23" i="26" s="1"/>
  <c r="O34" i="27"/>
  <c r="S34" i="27"/>
  <c r="AH23" i="26" l="1"/>
  <c r="AJ23" i="33"/>
  <c r="V23" i="33"/>
  <c r="V23" i="34"/>
  <c r="T35" i="27" a="1"/>
  <c r="T35" i="27" s="1"/>
  <c r="P35" i="27" s="1"/>
  <c r="X23" i="33"/>
  <c r="X23" i="34"/>
  <c r="AI23" i="26"/>
  <c r="AK23" i="33"/>
  <c r="AH23" i="34"/>
  <c r="AF23" i="26"/>
  <c r="AH23" i="33"/>
  <c r="B53" i="26"/>
  <c r="T23" i="26" s="1"/>
  <c r="B53" i="33"/>
  <c r="D53" i="33"/>
  <c r="O35" i="27" l="1"/>
  <c r="W23" i="34"/>
  <c r="U23" i="34"/>
  <c r="N35" i="27"/>
  <c r="S35" i="27"/>
  <c r="U23" i="33"/>
  <c r="W23" i="33"/>
  <c r="R35" i="27"/>
  <c r="Q35" i="27"/>
  <c r="Q53" i="33"/>
  <c r="R53" i="33"/>
  <c r="V24" i="33" l="1"/>
  <c r="U24" i="26"/>
  <c r="V24" i="34"/>
  <c r="T36" i="27" a="1"/>
  <c r="T36" i="27" s="1"/>
  <c r="X24" i="33"/>
  <c r="X24" i="34"/>
  <c r="V24" i="26"/>
  <c r="AH24" i="26"/>
  <c r="AJ24" i="33"/>
  <c r="AI24" i="26"/>
  <c r="AK24" i="33"/>
  <c r="AH24" i="34"/>
  <c r="AF24" i="26"/>
  <c r="AH24" i="33"/>
  <c r="P36" i="27" l="1"/>
  <c r="S36" i="27"/>
  <c r="O36" i="27"/>
  <c r="Q36" i="27"/>
  <c r="N36" i="27"/>
  <c r="R36" i="27"/>
  <c r="U24" i="34"/>
  <c r="W24" i="34"/>
  <c r="T24" i="26"/>
  <c r="U24" i="33"/>
  <c r="W24" i="33"/>
  <c r="U25" i="26" l="1"/>
  <c r="V25" i="34"/>
  <c r="V25" i="33"/>
  <c r="AH25" i="34"/>
  <c r="AF25" i="26"/>
  <c r="AH25" i="33"/>
  <c r="T37" i="27" a="1"/>
  <c r="T37" i="27" s="1"/>
  <c r="X25" i="34"/>
  <c r="V25" i="26"/>
  <c r="X25" i="33"/>
  <c r="AI25" i="26"/>
  <c r="AK25" i="33"/>
  <c r="AH25" i="26"/>
  <c r="AJ25" i="33"/>
  <c r="U25" i="33" l="1"/>
  <c r="W25" i="33"/>
  <c r="S37" i="27"/>
  <c r="R37" i="27"/>
  <c r="O37" i="27"/>
  <c r="Q37" i="27"/>
  <c r="P37" i="27"/>
  <c r="N37" i="27"/>
  <c r="U25" i="34"/>
  <c r="W25" i="34"/>
  <c r="T25" i="26"/>
  <c r="AH26" i="26" l="1"/>
  <c r="AJ26" i="33"/>
  <c r="AI26" i="26"/>
  <c r="AK26" i="33"/>
  <c r="V26" i="33"/>
  <c r="U26" i="26"/>
  <c r="V26" i="34"/>
  <c r="T38" i="27" a="1"/>
  <c r="T38" i="27" s="1"/>
  <c r="X26" i="33"/>
  <c r="V26" i="26"/>
  <c r="X26" i="34"/>
  <c r="AH26" i="34"/>
  <c r="AH26" i="33"/>
  <c r="AF26" i="26"/>
  <c r="U26" i="34" l="1"/>
  <c r="W26" i="34"/>
  <c r="S38" i="27"/>
  <c r="AI27" i="26" s="1"/>
  <c r="Q38" i="27"/>
  <c r="O38" i="27"/>
  <c r="N38" i="27"/>
  <c r="R38" i="27"/>
  <c r="P38" i="27"/>
  <c r="U26" i="33"/>
  <c r="W26" i="33"/>
  <c r="T26" i="26"/>
  <c r="AH27" i="26" l="1"/>
  <c r="AJ27" i="33"/>
  <c r="AK27" i="33"/>
  <c r="T39" i="27" a="1"/>
  <c r="T39" i="27" s="1"/>
  <c r="X27" i="33"/>
  <c r="X27" i="34"/>
  <c r="V27" i="26"/>
  <c r="V27" i="33"/>
  <c r="U27" i="26"/>
  <c r="V27" i="34"/>
  <c r="AH27" i="34"/>
  <c r="AH27" i="33"/>
  <c r="AF27" i="26"/>
  <c r="T27" i="26" l="1"/>
  <c r="U27" i="33"/>
  <c r="W27" i="33"/>
  <c r="W27" i="34"/>
  <c r="U27" i="34"/>
  <c r="Q39" i="27"/>
  <c r="O39" i="27"/>
  <c r="R39" i="27"/>
  <c r="S39" i="27"/>
  <c r="P39" i="27"/>
  <c r="N39" i="27"/>
  <c r="T40" i="27" l="1" a="1"/>
  <c r="T40" i="27" s="1"/>
  <c r="V28" i="26"/>
  <c r="X28" i="33"/>
  <c r="X28" i="34"/>
  <c r="AH28" i="26"/>
  <c r="AJ28" i="33"/>
  <c r="AI28" i="26"/>
  <c r="AK28" i="33"/>
  <c r="V28" i="34"/>
  <c r="U28" i="26"/>
  <c r="V28" i="33"/>
  <c r="AH28" i="34"/>
  <c r="AF28" i="26"/>
  <c r="AH28" i="33"/>
  <c r="T28" i="26" l="1"/>
  <c r="W28" i="33"/>
  <c r="U28" i="33"/>
  <c r="W28" i="34"/>
  <c r="U28" i="34"/>
  <c r="N40" i="27"/>
  <c r="P40" i="27"/>
  <c r="S40" i="27"/>
  <c r="R40" i="27"/>
  <c r="Q40" i="27"/>
  <c r="O40" i="27"/>
  <c r="AI29" i="26" l="1"/>
  <c r="AK29" i="33"/>
  <c r="AH29" i="34"/>
  <c r="AF29" i="26"/>
  <c r="AH29" i="33"/>
  <c r="AH29" i="26"/>
  <c r="AJ29" i="33"/>
  <c r="T41" i="27" a="1"/>
  <c r="T41" i="27" s="1"/>
  <c r="X29" i="33"/>
  <c r="X29" i="34"/>
  <c r="V29" i="26"/>
  <c r="V29" i="34"/>
  <c r="U29" i="26"/>
  <c r="V29" i="33"/>
  <c r="W29" i="34" l="1"/>
  <c r="U29" i="34"/>
  <c r="N41" i="27"/>
  <c r="R41" i="27"/>
  <c r="S41" i="27"/>
  <c r="Q41" i="27"/>
  <c r="O41" i="27"/>
  <c r="P41" i="27"/>
  <c r="W29" i="33"/>
  <c r="U29" i="33"/>
  <c r="T29" i="26"/>
  <c r="V30" i="33" l="1"/>
  <c r="V30" i="34"/>
  <c r="U30" i="26"/>
  <c r="T42" i="27" a="1"/>
  <c r="T42" i="27" s="1"/>
  <c r="V30" i="26"/>
  <c r="X30" i="34"/>
  <c r="X30" i="33"/>
  <c r="AH30" i="34"/>
  <c r="AF30" i="26"/>
  <c r="AH30" i="33"/>
  <c r="AI30" i="26"/>
  <c r="AK30" i="33"/>
  <c r="AH30" i="26"/>
  <c r="AJ30" i="33"/>
  <c r="P42" i="27" l="1"/>
  <c r="N42" i="27"/>
  <c r="O42" i="27"/>
  <c r="Q42" i="27"/>
  <c r="S42" i="27"/>
  <c r="R42" i="27"/>
  <c r="T30" i="26"/>
  <c r="W30" i="34"/>
  <c r="U30" i="34"/>
  <c r="U30" i="33"/>
  <c r="W30" i="33"/>
  <c r="AH31" i="34" l="1"/>
  <c r="AH31" i="33"/>
  <c r="AF31" i="26"/>
  <c r="AH31" i="26"/>
  <c r="AJ31" i="33"/>
  <c r="AI31" i="26"/>
  <c r="AK31" i="33"/>
  <c r="T43" i="27" a="1"/>
  <c r="T43" i="27" s="1"/>
  <c r="V31" i="26"/>
  <c r="X31" i="33"/>
  <c r="X31" i="34"/>
  <c r="U31" i="26"/>
  <c r="V31" i="34"/>
  <c r="V31" i="33"/>
  <c r="T31" i="26" l="1"/>
  <c r="P43" i="27"/>
  <c r="N43" i="27"/>
  <c r="S43" i="27"/>
  <c r="O43" i="27"/>
  <c r="R43" i="27"/>
  <c r="Q43" i="27"/>
  <c r="W31" i="33"/>
  <c r="U31" i="33"/>
  <c r="W31" i="34"/>
  <c r="U31" i="34"/>
  <c r="AI32" i="26" l="1"/>
  <c r="AK32" i="33"/>
  <c r="AH32" i="26"/>
  <c r="AJ32" i="33"/>
  <c r="T44" i="27" a="1"/>
  <c r="T44" i="27" s="1"/>
  <c r="X32" i="34"/>
  <c r="X32" i="33"/>
  <c r="V32" i="26"/>
  <c r="V32" i="33"/>
  <c r="U32" i="26"/>
  <c r="V32" i="34"/>
  <c r="AH32" i="34"/>
  <c r="AH32" i="33"/>
  <c r="AF32" i="26"/>
  <c r="T32" i="26" l="1"/>
  <c r="U32" i="34"/>
  <c r="W32" i="34"/>
  <c r="Q44" i="27"/>
  <c r="S44" i="27"/>
  <c r="N44" i="27"/>
  <c r="P44" i="27"/>
  <c r="R44" i="27"/>
  <c r="O44" i="27"/>
  <c r="U32" i="33"/>
  <c r="W32" i="33"/>
  <c r="AI33" i="26" l="1"/>
  <c r="AK33" i="33"/>
  <c r="AH33" i="26"/>
  <c r="AJ33" i="33"/>
  <c r="V33" i="33"/>
  <c r="V33" i="34"/>
  <c r="U33" i="26"/>
  <c r="AH33" i="34"/>
  <c r="AF33" i="26"/>
  <c r="AH33" i="33"/>
  <c r="T45" i="27" a="1"/>
  <c r="T45" i="27" s="1"/>
  <c r="X33" i="34"/>
  <c r="V33" i="26"/>
  <c r="X33" i="33"/>
  <c r="T33" i="26" l="1"/>
  <c r="S45" i="27"/>
  <c r="R45" i="27"/>
  <c r="O45" i="27"/>
  <c r="P45" i="27"/>
  <c r="N45" i="27"/>
  <c r="Q45" i="27"/>
  <c r="W33" i="33"/>
  <c r="U33" i="33"/>
  <c r="U33" i="34"/>
  <c r="W33" i="34"/>
  <c r="AH34" i="34" l="1"/>
  <c r="AH34" i="33"/>
  <c r="AF34" i="26"/>
  <c r="T46" i="27" a="1"/>
  <c r="T46" i="27" s="1"/>
  <c r="X34" i="34"/>
  <c r="V34" i="26"/>
  <c r="X34" i="33"/>
  <c r="AH34" i="26"/>
  <c r="AJ34" i="33"/>
  <c r="V34" i="33"/>
  <c r="V34" i="34"/>
  <c r="U34" i="26"/>
  <c r="AI34" i="26"/>
  <c r="AK34" i="33"/>
  <c r="T34" i="26" l="1"/>
  <c r="R46" i="27"/>
  <c r="Q46" i="27"/>
  <c r="P46" i="27"/>
  <c r="O46" i="27"/>
  <c r="N46" i="27"/>
  <c r="S46" i="27"/>
  <c r="U34" i="33"/>
  <c r="W34" i="33"/>
  <c r="U34" i="34"/>
  <c r="W34" i="34"/>
  <c r="AH35" i="34" l="1"/>
  <c r="AH35" i="33"/>
  <c r="AF35" i="26"/>
  <c r="T47" i="27" a="1"/>
  <c r="T47" i="27" s="1"/>
  <c r="X35" i="34"/>
  <c r="V35" i="26"/>
  <c r="X35" i="33"/>
  <c r="V35" i="33"/>
  <c r="V35" i="34"/>
  <c r="U35" i="26"/>
  <c r="AI35" i="26"/>
  <c r="AK35" i="33"/>
  <c r="AH35" i="26"/>
  <c r="AJ35" i="33"/>
  <c r="T35" i="26" l="1"/>
  <c r="U35" i="33"/>
  <c r="W35" i="33"/>
  <c r="N47" i="27"/>
  <c r="Q47" i="27"/>
  <c r="R47" i="27"/>
  <c r="O47" i="27"/>
  <c r="P47" i="27"/>
  <c r="S47" i="27"/>
  <c r="U35" i="34"/>
  <c r="W35" i="34"/>
  <c r="V36" i="34" l="1"/>
  <c r="U36" i="26"/>
  <c r="V36" i="33"/>
  <c r="T48" i="27" a="1"/>
  <c r="T48" i="27" s="1"/>
  <c r="X36" i="34"/>
  <c r="V36" i="26"/>
  <c r="X36" i="33"/>
  <c r="AI36" i="26"/>
  <c r="AK36" i="33"/>
  <c r="AH36" i="26"/>
  <c r="AJ36" i="33"/>
  <c r="AH36" i="34"/>
  <c r="AF36" i="26"/>
  <c r="AH36" i="33"/>
  <c r="O48" i="27" l="1"/>
  <c r="N48" i="27"/>
  <c r="R48" i="27"/>
  <c r="S48" i="27"/>
  <c r="Q48" i="27"/>
  <c r="P48" i="27"/>
  <c r="W36" i="33"/>
  <c r="U36" i="33"/>
  <c r="T36" i="26"/>
  <c r="W36" i="34"/>
  <c r="U36" i="34"/>
  <c r="AH37" i="26" l="1"/>
  <c r="AJ37" i="33"/>
  <c r="AI37" i="26"/>
  <c r="AK37" i="33"/>
  <c r="T49" i="27" a="1"/>
  <c r="T49" i="27" s="1"/>
  <c r="V37" i="26"/>
  <c r="X37" i="34"/>
  <c r="X37" i="33"/>
  <c r="V37" i="34"/>
  <c r="V37" i="33"/>
  <c r="U37" i="26"/>
  <c r="AH37" i="34"/>
  <c r="AF37" i="26"/>
  <c r="AH37" i="33"/>
  <c r="T37" i="26" l="1"/>
  <c r="U37" i="33"/>
  <c r="W37" i="33"/>
  <c r="W37" i="34"/>
  <c r="U37" i="34"/>
  <c r="N49" i="27"/>
  <c r="S49" i="27"/>
  <c r="P49" i="27"/>
  <c r="Q49" i="27"/>
  <c r="O49" i="27"/>
  <c r="R49" i="27"/>
  <c r="AH38" i="26" l="1"/>
  <c r="AJ38" i="33"/>
  <c r="AI38" i="26"/>
  <c r="AK38" i="33"/>
  <c r="AH38" i="34"/>
  <c r="AH38" i="33"/>
  <c r="AF38" i="26"/>
  <c r="T50" i="27" a="1"/>
  <c r="T50" i="27" s="1"/>
  <c r="X38" i="34"/>
  <c r="V38" i="26"/>
  <c r="X38" i="33"/>
  <c r="V38" i="33"/>
  <c r="U38" i="26"/>
  <c r="V38" i="34"/>
  <c r="U38" i="33" l="1"/>
  <c r="W38" i="33"/>
  <c r="R50" i="27"/>
  <c r="N50" i="27"/>
  <c r="O50" i="27"/>
  <c r="Q50" i="27"/>
  <c r="P50" i="27"/>
  <c r="S50" i="27"/>
  <c r="W38" i="34"/>
  <c r="U38" i="34"/>
  <c r="T38" i="26"/>
  <c r="T51" i="27" l="1" a="1"/>
  <c r="T51" i="27" s="1"/>
  <c r="V39" i="26"/>
  <c r="X39" i="33"/>
  <c r="X39" i="34"/>
  <c r="AH39" i="26"/>
  <c r="AJ39" i="33"/>
  <c r="AI39" i="26"/>
  <c r="AK39" i="33"/>
  <c r="AH39" i="34"/>
  <c r="AH39" i="33"/>
  <c r="AF39" i="26"/>
  <c r="V39" i="33"/>
  <c r="V39" i="34"/>
  <c r="U39" i="26"/>
  <c r="T39" i="26" l="1"/>
  <c r="U39" i="34"/>
  <c r="W39" i="34"/>
  <c r="W39" i="33"/>
  <c r="U39" i="33"/>
  <c r="N51" i="27"/>
  <c r="S51" i="27"/>
  <c r="O51" i="27"/>
  <c r="Q51" i="27"/>
  <c r="R51" i="27"/>
  <c r="P51" i="27"/>
  <c r="T52" i="27" l="1" a="1"/>
  <c r="T52" i="27" s="1"/>
  <c r="V40" i="26"/>
  <c r="X40" i="33"/>
  <c r="X40" i="34"/>
  <c r="AH40" i="34"/>
  <c r="AH40" i="33"/>
  <c r="AF40" i="26"/>
  <c r="AH40" i="26"/>
  <c r="AJ40" i="33"/>
  <c r="V40" i="33"/>
  <c r="V40" i="34"/>
  <c r="U40" i="26"/>
  <c r="AI40" i="26"/>
  <c r="AK40" i="33"/>
  <c r="T40" i="26" l="1"/>
  <c r="U40" i="33"/>
  <c r="W40" i="33"/>
  <c r="U40" i="34"/>
  <c r="W40" i="34"/>
  <c r="Q52" i="27"/>
  <c r="N52" i="27"/>
  <c r="O52" i="27"/>
  <c r="R52" i="27"/>
  <c r="S52" i="27"/>
  <c r="P52" i="27"/>
  <c r="T53" i="27" l="1" a="1"/>
  <c r="T53" i="27" s="1"/>
  <c r="X41" i="34"/>
  <c r="X41" i="33"/>
  <c r="V41" i="26"/>
  <c r="AI41" i="26"/>
  <c r="AK41" i="33"/>
  <c r="AH41" i="26"/>
  <c r="AJ41" i="33"/>
  <c r="U41" i="26"/>
  <c r="V41" i="34"/>
  <c r="V41" i="33"/>
  <c r="AH41" i="34"/>
  <c r="AH41" i="33"/>
  <c r="AF41" i="26"/>
  <c r="T41" i="26" l="1"/>
  <c r="W41" i="34"/>
  <c r="U41" i="34"/>
  <c r="U41" i="33"/>
  <c r="W41" i="33"/>
  <c r="Q53" i="27"/>
  <c r="P53" i="27"/>
  <c r="O53" i="27"/>
  <c r="R53" i="27"/>
  <c r="N53" i="27"/>
  <c r="S53" i="27"/>
  <c r="T54" i="27" l="1" a="1"/>
  <c r="T54" i="27" s="1"/>
  <c r="V42" i="26"/>
  <c r="X42" i="33"/>
  <c r="X42" i="34"/>
  <c r="V42" i="33"/>
  <c r="U42" i="26"/>
  <c r="V42" i="34"/>
  <c r="AI42" i="26"/>
  <c r="AK42" i="33"/>
  <c r="AH42" i="26"/>
  <c r="AJ42" i="33"/>
  <c r="AH42" i="34"/>
  <c r="AH42" i="33"/>
  <c r="AF42" i="26"/>
  <c r="T42" i="26" l="1"/>
  <c r="W42" i="34"/>
  <c r="U42" i="34"/>
  <c r="U42" i="33"/>
  <c r="W42" i="33"/>
  <c r="R54" i="27"/>
  <c r="S54" i="27"/>
  <c r="N54" i="27"/>
  <c r="Q54" i="27"/>
  <c r="O54" i="27"/>
  <c r="P54" i="27"/>
  <c r="V43" i="34" l="1"/>
  <c r="V43" i="33"/>
  <c r="U43" i="26"/>
  <c r="T55" i="27" a="1"/>
  <c r="T55" i="27" s="1"/>
  <c r="X43" i="33"/>
  <c r="X43" i="34"/>
  <c r="V43" i="26"/>
  <c r="AH43" i="34"/>
  <c r="AF43" i="26"/>
  <c r="AH43" i="33"/>
  <c r="AH43" i="26"/>
  <c r="AJ43" i="33"/>
  <c r="AI43" i="26"/>
  <c r="AK43" i="33"/>
  <c r="O55" i="27" l="1"/>
  <c r="R55" i="27"/>
  <c r="P55" i="27"/>
  <c r="Q55" i="27"/>
  <c r="S55" i="27"/>
  <c r="N55" i="27"/>
  <c r="T43" i="26"/>
  <c r="U43" i="33"/>
  <c r="W43" i="33"/>
  <c r="W43" i="34"/>
  <c r="U43" i="34"/>
  <c r="T56" i="27" l="1" a="1"/>
  <c r="T56" i="27" s="1"/>
  <c r="V44" i="26"/>
  <c r="X44" i="34"/>
  <c r="X44" i="33"/>
  <c r="AH44" i="26"/>
  <c r="AJ44" i="33"/>
  <c r="AI44" i="26"/>
  <c r="AK44" i="33"/>
  <c r="V44" i="33"/>
  <c r="U44" i="26"/>
  <c r="V44" i="34"/>
  <c r="AH44" i="34"/>
  <c r="AH44" i="33"/>
  <c r="AF44" i="26"/>
  <c r="T44" i="26" l="1"/>
  <c r="U44" i="34"/>
  <c r="W44" i="34"/>
  <c r="W44" i="33"/>
  <c r="U44" i="33"/>
  <c r="S56" i="27"/>
  <c r="N56" i="27"/>
  <c r="P56" i="27"/>
  <c r="Q56" i="27"/>
  <c r="O56" i="27"/>
  <c r="R56" i="27"/>
  <c r="AI45" i="26" l="1"/>
  <c r="AK45" i="33"/>
  <c r="AH45" i="34"/>
  <c r="AH45" i="33"/>
  <c r="AF45" i="26"/>
  <c r="AH45" i="26"/>
  <c r="AJ45" i="33"/>
  <c r="V45" i="33"/>
  <c r="U45" i="26"/>
  <c r="V45" i="34"/>
  <c r="T57" i="27" a="1"/>
  <c r="T57" i="27" s="1"/>
  <c r="X45" i="34"/>
  <c r="X45" i="33"/>
  <c r="V45" i="26"/>
  <c r="T45" i="26" l="1"/>
  <c r="W45" i="34"/>
  <c r="U45" i="34"/>
  <c r="Q57" i="27"/>
  <c r="N57" i="27"/>
  <c r="R57" i="27"/>
  <c r="S57" i="27"/>
  <c r="P57" i="27"/>
  <c r="O57" i="27"/>
  <c r="U45" i="33"/>
  <c r="W45" i="33"/>
  <c r="T58" i="27" l="1" a="1"/>
  <c r="T58" i="27" s="1"/>
  <c r="X46" i="34"/>
  <c r="V46" i="26"/>
  <c r="X46" i="33"/>
  <c r="AH46" i="34"/>
  <c r="AF46" i="26"/>
  <c r="AH46" i="33"/>
  <c r="AI46" i="26"/>
  <c r="AK46" i="33"/>
  <c r="AH46" i="26"/>
  <c r="AJ46" i="33"/>
  <c r="V46" i="34"/>
  <c r="U46" i="26"/>
  <c r="V46" i="33"/>
  <c r="T46" i="26" l="1"/>
  <c r="U46" i="34"/>
  <c r="W46" i="34"/>
  <c r="U46" i="33"/>
  <c r="W46" i="33"/>
  <c r="O58" i="27"/>
  <c r="R58" i="27"/>
  <c r="Q58" i="27"/>
  <c r="P58" i="27"/>
  <c r="N58" i="27"/>
  <c r="S58" i="27"/>
  <c r="V47" i="34" l="1"/>
  <c r="U47" i="26"/>
  <c r="V47" i="33"/>
  <c r="AI47" i="26"/>
  <c r="AK47" i="33"/>
  <c r="AH47" i="34"/>
  <c r="AH47" i="33"/>
  <c r="AF47" i="26"/>
  <c r="T59" i="27" a="1"/>
  <c r="T59" i="27" s="1"/>
  <c r="X47" i="34"/>
  <c r="X47" i="33"/>
  <c r="V47" i="26"/>
  <c r="AH47" i="26"/>
  <c r="AJ47" i="33"/>
  <c r="S59" i="27" l="1"/>
  <c r="P59" i="27"/>
  <c r="Q59" i="27"/>
  <c r="R59" i="27"/>
  <c r="N59" i="27"/>
  <c r="O59" i="27"/>
  <c r="U47" i="33"/>
  <c r="W47" i="33"/>
  <c r="T47" i="26"/>
  <c r="W47" i="34"/>
  <c r="U47" i="34"/>
  <c r="AH48" i="26" l="1"/>
  <c r="AJ48" i="33"/>
  <c r="AH48" i="34"/>
  <c r="AH48" i="33"/>
  <c r="AF48" i="26"/>
  <c r="T60" i="27" a="1"/>
  <c r="T60" i="27" s="1"/>
  <c r="V48" i="26"/>
  <c r="X48" i="33"/>
  <c r="X48" i="34"/>
  <c r="U48" i="26"/>
  <c r="V48" i="34"/>
  <c r="V48" i="33"/>
  <c r="AI48" i="26"/>
  <c r="AK48" i="33"/>
  <c r="U48" i="33" l="1"/>
  <c r="W48" i="33"/>
  <c r="W48" i="34"/>
  <c r="U48" i="34"/>
  <c r="T48" i="26"/>
  <c r="S60" i="27"/>
  <c r="P60" i="27"/>
  <c r="R60" i="27"/>
  <c r="Q60" i="27"/>
  <c r="N60" i="27"/>
  <c r="O60" i="27"/>
  <c r="T61" i="27" l="1" a="1"/>
  <c r="T61" i="27" s="1"/>
  <c r="V49" i="26"/>
  <c r="X49" i="33"/>
  <c r="X49" i="34"/>
  <c r="V49" i="33"/>
  <c r="V49" i="34"/>
  <c r="U49" i="26"/>
  <c r="AH49" i="34"/>
  <c r="AF49" i="26"/>
  <c r="AH49" i="33"/>
  <c r="AH49" i="26"/>
  <c r="AJ49" i="33"/>
  <c r="AI49" i="26"/>
  <c r="AK49" i="33"/>
  <c r="T49" i="26" l="1"/>
  <c r="U49" i="33"/>
  <c r="W49" i="33"/>
  <c r="W49" i="34"/>
  <c r="U49" i="34"/>
  <c r="N61" i="27"/>
  <c r="O61" i="27"/>
  <c r="P61" i="27"/>
  <c r="R61" i="27"/>
  <c r="Q61" i="27"/>
  <c r="S61" i="27"/>
  <c r="T62" i="27" l="1" a="1"/>
  <c r="T62" i="27" s="1"/>
  <c r="X50" i="33"/>
  <c r="V50" i="26"/>
  <c r="X50" i="34"/>
  <c r="AI50" i="26"/>
  <c r="AK50" i="33"/>
  <c r="U50" i="26"/>
  <c r="V50" i="33"/>
  <c r="V50" i="34"/>
  <c r="AH50" i="26"/>
  <c r="AJ50" i="33"/>
  <c r="AH50" i="34"/>
  <c r="AH50" i="33"/>
  <c r="AF50" i="26"/>
  <c r="T50" i="26" l="1"/>
  <c r="W50" i="34"/>
  <c r="U50" i="34"/>
  <c r="U50" i="33"/>
  <c r="W50" i="33"/>
  <c r="Q62" i="27"/>
  <c r="N62" i="27"/>
  <c r="R62" i="27"/>
  <c r="O62" i="27"/>
  <c r="S62" i="27"/>
  <c r="P62" i="27"/>
  <c r="V51" i="34" l="1"/>
  <c r="V51" i="33"/>
  <c r="U51" i="26"/>
  <c r="AI51" i="26"/>
  <c r="AK51" i="33"/>
  <c r="T63" i="27" a="1"/>
  <c r="T63" i="27" s="1"/>
  <c r="V51" i="26"/>
  <c r="X51" i="33"/>
  <c r="X51" i="34"/>
  <c r="AH51" i="26"/>
  <c r="AJ51" i="33"/>
  <c r="AH51" i="34"/>
  <c r="AF51" i="26"/>
  <c r="AH51" i="33"/>
  <c r="T51" i="26" l="1"/>
  <c r="P63" i="27"/>
  <c r="R63" i="27"/>
  <c r="S63" i="27"/>
  <c r="N63" i="27"/>
  <c r="O63" i="27"/>
  <c r="Q63" i="27"/>
  <c r="W51" i="33"/>
  <c r="U51" i="33"/>
  <c r="W51" i="34"/>
  <c r="U51" i="34"/>
  <c r="AH52" i="34" l="1"/>
  <c r="AH52" i="33"/>
  <c r="AF52" i="26"/>
  <c r="AH52" i="26"/>
  <c r="AJ52" i="33"/>
  <c r="V52" i="34"/>
  <c r="U52" i="26"/>
  <c r="V52" i="33"/>
  <c r="T64" i="27" a="1"/>
  <c r="T64" i="27" s="1"/>
  <c r="X52" i="34"/>
  <c r="V52" i="26"/>
  <c r="X52" i="33"/>
  <c r="AI52" i="26"/>
  <c r="AK52" i="33"/>
  <c r="P64" i="27" l="1"/>
  <c r="R64" i="27"/>
  <c r="Q64" i="27"/>
  <c r="N64" i="27"/>
  <c r="S64" i="27"/>
  <c r="O64" i="27"/>
  <c r="T52" i="26"/>
  <c r="W52" i="33"/>
  <c r="U52" i="33"/>
  <c r="W52" i="34"/>
  <c r="U52" i="34"/>
  <c r="AI53" i="26" l="1"/>
  <c r="AK53" i="33"/>
  <c r="V53" i="33"/>
  <c r="V53" i="34"/>
  <c r="U53" i="26"/>
  <c r="AH53" i="26"/>
  <c r="AJ53" i="33"/>
  <c r="AH53" i="34"/>
  <c r="AF53" i="26"/>
  <c r="AH53" i="33"/>
  <c r="V53" i="26"/>
  <c r="Q64" i="26" s="1"/>
  <c r="D54" i="26" s="1"/>
  <c r="X53" i="34"/>
  <c r="R64" i="34" s="1"/>
  <c r="F54" i="34" s="1"/>
  <c r="X53" i="33"/>
  <c r="R64" i="33" s="1"/>
  <c r="E54" i="33" s="1"/>
  <c r="T53" i="26" l="1"/>
  <c r="U53" i="34"/>
  <c r="W53" i="34"/>
  <c r="U53" i="33"/>
  <c r="W53" i="33"/>
  <c r="AK56" i="33"/>
  <c r="AI56" i="26"/>
  <c r="Q59" i="26" l="1"/>
  <c r="O59" i="26" s="1"/>
  <c r="Q58" i="26"/>
  <c r="O58" i="26" s="1"/>
  <c r="R59" i="33"/>
  <c r="P59" i="33" s="1"/>
  <c r="R58" i="33"/>
  <c r="P58" i="33" s="1"/>
  <c r="AK58" i="33"/>
  <c r="AI58" i="33" s="1"/>
  <c r="AK59" i="33"/>
  <c r="AI59" i="33" s="1"/>
  <c r="AI59" i="26"/>
  <c r="AG59" i="26" s="1"/>
  <c r="AI58" i="26"/>
  <c r="AG58" i="26" s="1"/>
  <c r="AK60" i="33" l="1"/>
  <c r="AI60" i="26"/>
  <c r="Z16" i="27" l="1"/>
  <c r="S23" i="27"/>
  <c r="Q43" i="26" l="1"/>
  <c r="R43" i="33"/>
  <c r="Z12" i="27"/>
  <c r="S18" i="27"/>
  <c r="Q36" i="26"/>
  <c r="R36" i="33"/>
  <c r="Q38" i="26" l="1"/>
  <c r="R38" i="33"/>
  <c r="S5" i="27" l="1"/>
  <c r="R25" i="33" l="1"/>
  <c r="Q25" i="26"/>
  <c r="Z7" i="27"/>
  <c r="Q27" i="26"/>
  <c r="Z8" i="27"/>
  <c r="Q28" i="26"/>
  <c r="R27" i="33"/>
  <c r="R28" i="33"/>
  <c r="S12" i="27"/>
  <c r="R32" i="33" l="1"/>
  <c r="Q32" i="26"/>
  <c r="R54" i="33" l="1"/>
  <c r="Q54" i="26"/>
  <c r="S10" i="27" l="1"/>
  <c r="Z5" i="27"/>
  <c r="S3" i="27" l="1"/>
  <c r="M156" i="27" s="1"/>
  <c r="Z3" i="27"/>
  <c r="Q30" i="26"/>
  <c r="R30" i="33"/>
  <c r="R23" i="33" l="1"/>
  <c r="R56" i="33" s="1"/>
  <c r="R60" i="33" s="1"/>
  <c r="Q23" i="26"/>
  <c r="Q56" i="26" s="1"/>
  <c r="Q60" i="26" l="1"/>
  <c r="L1" i="27" s="1"/>
  <c r="I6" i="35"/>
  <c r="C6" i="35"/>
  <c r="G6" i="35"/>
  <c r="K1"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J5" authorId="0" shapeId="0" xr:uid="{D0B879AF-7B34-4D56-B1B9-798E29222552}">
      <text>
        <r>
          <rPr>
            <b/>
            <sz val="9"/>
            <color rgb="FF0000FF"/>
            <rFont val="Tahoma"/>
            <family val="2"/>
          </rPr>
          <t>☑</t>
        </r>
        <r>
          <rPr>
            <b/>
            <sz val="9"/>
            <color rgb="FF0000FF"/>
            <rFont val="Tahoma"/>
            <family val="2"/>
          </rPr>
          <t xml:space="preserve"> Bureaucracy:</t>
        </r>
        <r>
          <rPr>
            <sz val="9"/>
            <color rgb="FF000000"/>
            <rFont val="Tahoma"/>
            <family val="2"/>
          </rPr>
          <t xml:space="preserve">
</t>
        </r>
        <r>
          <rPr>
            <sz val="9"/>
            <color rgb="FF000000"/>
            <rFont val="Tahoma"/>
            <family val="2"/>
          </rPr>
          <t xml:space="preserve">If you can't accept our Terms &amp; Conditions below, activate this checkbox and prices will be adjusted accordingly.
</t>
        </r>
        <r>
          <rPr>
            <sz val="9"/>
            <color rgb="FF000000"/>
            <rFont val="Tahoma"/>
            <family val="2"/>
          </rPr>
          <t xml:space="preserve">
</t>
        </r>
      </text>
    </comment>
    <comment ref="H7" authorId="0" shapeId="0" xr:uid="{64D4C583-5877-4160-AEB9-80540DF01FE1}">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J7" authorId="0" shapeId="0" xr:uid="{4996D585-B1FB-4C24-87CE-CA066E7D5DE2}">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5" authorId="0" shapeId="0" xr:uid="{1E1D3EEE-A66A-4D4B-9C33-58AA4B46AAEC}">
      <text>
        <r>
          <rPr>
            <b/>
            <sz val="9"/>
            <color indexed="39"/>
            <rFont val="Tahoma"/>
            <family val="2"/>
          </rPr>
          <t>☑ Filled by customer:</t>
        </r>
        <r>
          <rPr>
            <sz val="9"/>
            <color indexed="81"/>
            <rFont val="Tahoma"/>
            <family val="2"/>
          </rPr>
          <t xml:space="preserve">
Fill in all the customer information (Bill To &amp; Ship to) and check this item to get a 1% rebate on the total of your order.
</t>
        </r>
      </text>
    </comment>
    <comment ref="I7" authorId="0" shapeId="0" xr:uid="{1A50EC63-8597-4D83-BF83-914111041ECC}">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8B66350F-6684-4A29-8028-5FD5AA4A89E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D25" authorId="0" shapeId="0" xr:uid="{6A4941BC-099C-4264-B25A-024B015B9F41}">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I25" authorId="0" shapeId="0" xr:uid="{D5EC2B29-A191-4D99-8EEA-CF610D2285FF}">
      <text>
        <r>
          <rPr>
            <b/>
            <sz val="9"/>
            <color indexed="81"/>
            <rFont val="Tahoma"/>
            <family val="2"/>
          </rPr>
          <t>Tech-Eurocom:</t>
        </r>
        <r>
          <rPr>
            <sz val="9"/>
            <color indexed="81"/>
            <rFont val="Tahoma"/>
            <family val="2"/>
          </rPr>
          <t xml:space="preserve">
Doit être =2 vu que c'est la seule version disponible maintenant (sinon le calcul d'upgrade bug)</t>
        </r>
      </text>
    </comment>
    <comment ref="E72" authorId="0" shapeId="0" xr:uid="{747C1109-CCA9-4FFE-945E-B31EA46919BE}">
      <text>
        <r>
          <rPr>
            <b/>
            <sz val="9"/>
            <color indexed="81"/>
            <rFont val="Tahoma"/>
            <family val="2"/>
          </rPr>
          <t>Tech-Eurocom:</t>
        </r>
        <r>
          <rPr>
            <sz val="9"/>
            <color indexed="81"/>
            <rFont val="Tahoma"/>
            <family val="2"/>
          </rPr>
          <t xml:space="preserve">
TPU toujours inclus</t>
        </r>
      </text>
    </comment>
    <comment ref="H72" authorId="0" shapeId="0" xr:uid="{681B540B-E857-4D48-8454-1C0082BC074C}">
      <text>
        <r>
          <rPr>
            <b/>
            <sz val="9"/>
            <color indexed="81"/>
            <rFont val="Tahoma"/>
            <family val="2"/>
          </rPr>
          <t>Tech-Eurocom:</t>
        </r>
        <r>
          <rPr>
            <sz val="9"/>
            <color indexed="81"/>
            <rFont val="Tahoma"/>
            <family val="2"/>
          </rPr>
          <t xml:space="preserve">
TPU toujours inclus</t>
        </r>
      </text>
    </comment>
    <comment ref="R75" authorId="0" shapeId="0" xr:uid="{8A215978-E965-47DF-AABB-ABE05593A4EA}">
      <text>
        <r>
          <rPr>
            <b/>
            <sz val="9"/>
            <color indexed="81"/>
            <rFont val="Tahoma"/>
            <family val="2"/>
          </rPr>
          <t>Tech-Eurocom:</t>
        </r>
        <r>
          <rPr>
            <sz val="9"/>
            <color indexed="81"/>
            <rFont val="Tahoma"/>
            <family val="2"/>
          </rPr>
          <t xml:space="preserve">
Item vendu                 Boite          Commentaires    
Si logiciels seuls            1 PACK        peu importe le nombre    
Si un STD Scanner       1 Boite STD   aucun frais de shipping supp si un ou plus logiciels, pas de frais sup si 1 ou 1 set de 3 trays    
Si un LA avec TPU       2 boites LA     aucun frais de shipping supp si un ou plus logiciels, pas de frais sup si 1 ou 1 set de 5 trays    
Si un LA sans TPU       1 boites LA     aucun frais de shipping supplementaire si un ou plus logiciels    
Si un LC Scanner         1 Boite LC      aucun frais de shipping supplementaire si un ou plus logiciels    
Si 1 Syst Opy OMount  1 Boite OMount   aucun frais de shipping supplementaire si un ou plus logiciels    
Si un PICK 12x16         1 Boite PICK 12x16   aucun frais de shipping supplementaire si un ou plus logiciels    
Si un PICK 18x24         1 Boite PICK 18x24   aucun frais de shipping supplementaire si un ou plus logiciels    
n Trays                       choisir boite selon le nombre de trays   et additionner aux items ci-haut (si n&gt;1 tray ou 1 set)    
 </t>
        </r>
      </text>
    </comment>
    <comment ref="K173" authorId="0" shapeId="0" xr:uid="{68A31DE2-0D28-45DC-86EC-A843C2558339}">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Tech-Eurocom</author>
  </authors>
  <commentList>
    <comment ref="K6" authorId="0" shapeId="0" xr:uid="{4E091415-7096-435E-8B02-2D96819824EC}">
      <text>
        <r>
          <rPr>
            <b/>
            <sz val="9"/>
            <color indexed="39"/>
            <rFont val="Tahoma"/>
            <family val="2"/>
          </rPr>
          <t>☑ Filled by customer:</t>
        </r>
        <r>
          <rPr>
            <sz val="9"/>
            <color indexed="81"/>
            <rFont val="Tahoma"/>
            <family val="2"/>
          </rPr>
          <t xml:space="preserve">
Fill in all the customer information (Bill To &amp; Ship to) and check this item to get a 1% rebate on the total of your order.
</t>
        </r>
      </text>
    </comment>
    <comment ref="I7" authorId="0" shapeId="0" xr:uid="{B0758AF1-6D99-4C2B-8DD1-19AAE0224673}">
      <text>
        <r>
          <rPr>
            <b/>
            <sz val="9"/>
            <color indexed="39"/>
            <rFont val="Tahoma"/>
            <family val="2"/>
          </rPr>
          <t>☑ Split in 2 invoices:</t>
        </r>
        <r>
          <rPr>
            <sz val="9"/>
            <color indexed="81"/>
            <rFont val="Tahoma"/>
            <family val="2"/>
          </rPr>
          <t xml:space="preserve">
When this item is </t>
        </r>
        <r>
          <rPr>
            <u/>
            <sz val="9"/>
            <color indexed="81"/>
            <rFont val="Tahoma"/>
            <family val="2"/>
          </rPr>
          <t>not</t>
        </r>
        <r>
          <rPr>
            <sz val="9"/>
            <color indexed="81"/>
            <rFont val="Tahoma"/>
            <family val="2"/>
          </rPr>
          <t xml:space="preserve"> checked, all merchandises are shown on the same invoice and are sold as a scientific instrument measurement system (e.g. WinRHIZO Pro System including software, scanner and accessories with a single price and customs' harmonised code).
When it is checked, two invoices are generated. Software items are on the first invoice and hardware items on the second one. Each item has its own price and harmonised code (different from a system). The order is considered as two distinct orders, the invoices have two different numbers and they are shipped separately.
</t>
        </r>
      </text>
    </comment>
    <comment ref="K7" authorId="0" shapeId="0" xr:uid="{3CD45CBD-0F71-4B99-A2D3-B2F42D81E4CB}">
      <text>
        <r>
          <rPr>
            <b/>
            <sz val="9"/>
            <color indexed="39"/>
            <rFont val="Tahoma"/>
            <family val="2"/>
          </rPr>
          <t>☑ Internet Download:</t>
        </r>
        <r>
          <rPr>
            <sz val="9"/>
            <color indexed="81"/>
            <rFont val="Tahoma"/>
            <family val="2"/>
          </rPr>
          <t xml:space="preserve">
This item has an effect only when </t>
        </r>
        <r>
          <rPr>
            <sz val="9"/>
            <color indexed="39"/>
            <rFont val="Tahoma"/>
            <family val="2"/>
          </rPr>
          <t xml:space="preserve">☑ </t>
        </r>
        <r>
          <rPr>
            <i/>
            <sz val="9"/>
            <color indexed="39"/>
            <rFont val="Tahoma"/>
            <family val="2"/>
          </rPr>
          <t>Split in 2 invoices</t>
        </r>
        <r>
          <rPr>
            <sz val="9"/>
            <color indexed="81"/>
            <rFont val="Tahoma"/>
            <family val="2"/>
          </rPr>
          <t xml:space="preserve"> </t>
        </r>
        <r>
          <rPr>
            <u/>
            <sz val="9"/>
            <color indexed="81"/>
            <rFont val="Tahoma"/>
            <family val="2"/>
          </rPr>
          <t>is</t>
        </r>
        <r>
          <rPr>
            <sz val="9"/>
            <color indexed="81"/>
            <rFont val="Tahoma"/>
            <family val="2"/>
          </rPr>
          <t xml:space="preserve"> checked. 
• If </t>
        </r>
        <r>
          <rPr>
            <sz val="9"/>
            <color indexed="39"/>
            <rFont val="Tahoma"/>
            <family val="2"/>
          </rPr>
          <t xml:space="preserve">☐ </t>
        </r>
        <r>
          <rPr>
            <i/>
            <sz val="9"/>
            <color indexed="39"/>
            <rFont val="Tahoma"/>
            <family val="2"/>
          </rPr>
          <t>Internet Download</t>
        </r>
        <r>
          <rPr>
            <sz val="9"/>
            <color indexed="81"/>
            <rFont val="Tahoma"/>
            <family val="2"/>
          </rPr>
          <t xml:space="preserve"> is </t>
        </r>
        <r>
          <rPr>
            <u/>
            <sz val="9"/>
            <color indexed="81"/>
            <rFont val="Tahoma"/>
            <family val="2"/>
          </rPr>
          <t>not</t>
        </r>
        <r>
          <rPr>
            <sz val="9"/>
            <color indexed="81"/>
            <rFont val="Tahoma"/>
            <family val="2"/>
          </rPr>
          <t xml:space="preserve"> checked, the software on invoice #1 is shipped by carrier on the USB drive/key with pdf &amp; printed manuals. The declared value for customs is the software plus USB drive values.
• If it is checked, the software must be downloaded from the Internet (we provide a download link). The software USB drive (key) is shipped with the hardware listed on the second invoice (but the software is not on the key, the customer must copy the downloaded content to the key). The declared value for customs is the hardware including USB drive values (but no software value).
</t>
        </r>
      </text>
    </comment>
  </commentList>
</comments>
</file>

<file path=xl/sharedStrings.xml><?xml version="1.0" encoding="utf-8"?>
<sst xmlns="http://schemas.openxmlformats.org/spreadsheetml/2006/main" count="2942" uniqueCount="925">
  <si>
    <t>Description</t>
  </si>
  <si>
    <t>WinDENDRO</t>
  </si>
  <si>
    <t>CAD</t>
  </si>
  <si>
    <t>USD</t>
  </si>
  <si>
    <t>€</t>
  </si>
  <si>
    <t>WinFOLIA</t>
  </si>
  <si>
    <t>Canada</t>
  </si>
  <si>
    <t>Column2</t>
  </si>
  <si>
    <t>WinCELL</t>
  </si>
  <si>
    <t>WinRHIZO</t>
  </si>
  <si>
    <t>WinSEEDLE</t>
  </si>
  <si>
    <t>WinCAM</t>
  </si>
  <si>
    <t>WithAndSansScan</t>
  </si>
  <si>
    <t>Harmonized Code</t>
  </si>
  <si>
    <t>Software</t>
  </si>
  <si>
    <t xml:space="preserve"> GRAND TOTAL</t>
  </si>
  <si>
    <t>GRAND TOTAL</t>
  </si>
  <si>
    <t xml:space="preserve">                   *PICK = Portable Imaging &amp; Calibration Kit</t>
  </si>
  <si>
    <t>Date</t>
  </si>
  <si>
    <t>Client</t>
  </si>
  <si>
    <t>Incoterms</t>
  </si>
  <si>
    <t>TOTAL</t>
  </si>
  <si>
    <t>DESCRIPTION</t>
  </si>
  <si>
    <t>RHIZO_N_Software</t>
  </si>
  <si>
    <t>RHIZO_OptionXL</t>
  </si>
  <si>
    <t>RHIZO_N_System</t>
  </si>
  <si>
    <t>RHIZO_N_UpgradeUpdate</t>
  </si>
  <si>
    <t>Variable / Product ID</t>
  </si>
  <si>
    <t>Real Quantity</t>
  </si>
  <si>
    <t>RHIZO_Option1</t>
  </si>
  <si>
    <t>RHIZO_Option2</t>
  </si>
  <si>
    <t>RHIZO_Option3</t>
  </si>
  <si>
    <t>RHIZO_Option4</t>
  </si>
  <si>
    <t>Array formula description</t>
  </si>
  <si>
    <t>Array formula Qty</t>
  </si>
  <si>
    <t>ShowDesc?</t>
  </si>
  <si>
    <t>Unit Price</t>
  </si>
  <si>
    <t>Extended price</t>
  </si>
  <si>
    <t>ITEM #</t>
  </si>
  <si>
    <t>Array formula Unit Price</t>
  </si>
  <si>
    <t>Array formula Ext Price</t>
  </si>
  <si>
    <t>QC</t>
  </si>
  <si>
    <t>AB</t>
  </si>
  <si>
    <t>BC</t>
  </si>
  <si>
    <t>MB</t>
  </si>
  <si>
    <t>NB</t>
  </si>
  <si>
    <t>NL</t>
  </si>
  <si>
    <t>NT</t>
  </si>
  <si>
    <t>NS</t>
  </si>
  <si>
    <t>NU</t>
  </si>
  <si>
    <t>ON</t>
  </si>
  <si>
    <t>PE</t>
  </si>
  <si>
    <t>SK</t>
  </si>
  <si>
    <t>YK</t>
  </si>
  <si>
    <t>PQ</t>
  </si>
  <si>
    <t>DENDRO_N_System</t>
  </si>
  <si>
    <t>DENDRO_N_Software</t>
  </si>
  <si>
    <t>DENDRO_OptionXL</t>
  </si>
  <si>
    <t>DENDRO_N_UpgradeUpdate</t>
  </si>
  <si>
    <t>DENDRO_Option1</t>
  </si>
  <si>
    <t>DENDRO_Option2</t>
  </si>
  <si>
    <t>DENDRO_Option3</t>
  </si>
  <si>
    <t>DENDRO_Option4</t>
  </si>
  <si>
    <t>CELL_OptionXL</t>
  </si>
  <si>
    <t>CELL_N_Software</t>
  </si>
  <si>
    <t>CELL_N_UpgradeUpdate</t>
  </si>
  <si>
    <t>RHIZOTron_OptionXL</t>
  </si>
  <si>
    <t>RHIZOTron_N_UpgradeUpdate</t>
  </si>
  <si>
    <t>FOLIA_N_System</t>
  </si>
  <si>
    <t>FOLIA_N_Software</t>
  </si>
  <si>
    <t>FOLIA_OptionXL</t>
  </si>
  <si>
    <t>FOLIA_N_UpgradeUpdate</t>
  </si>
  <si>
    <t>FOLIA_Option1</t>
  </si>
  <si>
    <t>FOLIA_Option2</t>
  </si>
  <si>
    <t>FOLIA_Option3</t>
  </si>
  <si>
    <t>SEEDLE_N_System</t>
  </si>
  <si>
    <t>SEEDLE_N_Software</t>
  </si>
  <si>
    <t>SEEDLE_OptionXL</t>
  </si>
  <si>
    <t>SEEDLE_N_UpgradeUpdate</t>
  </si>
  <si>
    <t>SEEDLE_Option1</t>
  </si>
  <si>
    <t>SEEDLE_Option2</t>
  </si>
  <si>
    <t>SEEDLE_Option3</t>
  </si>
  <si>
    <t>SEEDLE_Option4</t>
  </si>
  <si>
    <t>CAM_N_System</t>
  </si>
  <si>
    <t>CAM_N_Software</t>
  </si>
  <si>
    <t>CAM_N_UpgradeUpdate</t>
  </si>
  <si>
    <t>CAM_Option1</t>
  </si>
  <si>
    <t>CAM_Option2</t>
  </si>
  <si>
    <t>CAM_Option3</t>
  </si>
  <si>
    <t>SCANOPY_N_System</t>
  </si>
  <si>
    <t>SCANOPY_N_Software</t>
  </si>
  <si>
    <t>SCANOPY_OptionXL</t>
  </si>
  <si>
    <t>SCANOPY_N_UpgradeUpdate</t>
  </si>
  <si>
    <t>SCANOPY_Option1</t>
  </si>
  <si>
    <t>Blue Reflectance Target</t>
  </si>
  <si>
    <t>DENDRO Scanner</t>
  </si>
  <si>
    <t>RHIZO Scanner</t>
  </si>
  <si>
    <t>RHIZO scanner TPU for LA</t>
  </si>
  <si>
    <t>FOLIA scanner</t>
  </si>
  <si>
    <t>FOLIA scanner TPU for LA</t>
  </si>
  <si>
    <t>FOLIA System1</t>
  </si>
  <si>
    <t>SEEDLE scanner</t>
  </si>
  <si>
    <t>SEEDLE scanner TPU for LA</t>
  </si>
  <si>
    <t>CAM scanner TPU for LA</t>
  </si>
  <si>
    <t>CAM System1</t>
  </si>
  <si>
    <t>SCANOPY System1</t>
  </si>
  <si>
    <t>SCANOPY System2</t>
  </si>
  <si>
    <t>SCANOPY System3</t>
  </si>
  <si>
    <t>SCANOPY System4</t>
  </si>
  <si>
    <t>Array Formula Code</t>
  </si>
  <si>
    <t>Rank</t>
  </si>
  <si>
    <t>Rabais</t>
  </si>
  <si>
    <t>Skip</t>
  </si>
  <si>
    <t>WinRHIZO Tron</t>
  </si>
  <si>
    <t>XLSoftware</t>
  </si>
  <si>
    <t>XLName</t>
  </si>
  <si>
    <t>Dist price</t>
  </si>
  <si>
    <t>RabaisInterProduit1</t>
  </si>
  <si>
    <t>RabaisInterProduit2</t>
  </si>
  <si>
    <t>RabaisInterProduit3</t>
  </si>
  <si>
    <t>RabaisInterProduit4</t>
  </si>
  <si>
    <t>RabaisInterProduit5</t>
  </si>
  <si>
    <t>RabaisInterProduit6</t>
  </si>
  <si>
    <t>RabaisInterProduit7</t>
  </si>
  <si>
    <t>Rabais inter produits</t>
  </si>
  <si>
    <t>Item#</t>
  </si>
  <si>
    <t>Qty</t>
  </si>
  <si>
    <t>$unit</t>
  </si>
  <si>
    <t>$extended</t>
  </si>
  <si>
    <t>ArrayF DetailedPrice</t>
  </si>
  <si>
    <t xml:space="preserve"> </t>
  </si>
  <si>
    <t>DENDRO scanner TPU for LA</t>
  </si>
  <si>
    <t>Detailed Ext Price</t>
  </si>
  <si>
    <t>XL+Win Price+Update/upgrade</t>
  </si>
  <si>
    <t>license</t>
  </si>
  <si>
    <t>update</t>
  </si>
  <si>
    <t>upgrade</t>
  </si>
  <si>
    <t>USA</t>
  </si>
  <si>
    <t>Variables Prix scanners ci-dessous</t>
  </si>
  <si>
    <t>From: Regent Instruments Inc.</t>
  </si>
  <si>
    <t>Ship to:</t>
  </si>
  <si>
    <t>7140 Wilfrid-Hamel Boulevard, Quebec, QC G2G 1B5 CANADA</t>
  </si>
  <si>
    <t>Contact:</t>
  </si>
  <si>
    <t>Tel:</t>
  </si>
  <si>
    <t>P.O. / Reference #:</t>
  </si>
  <si>
    <t>Nom du client</t>
  </si>
  <si>
    <t>Commentaires</t>
  </si>
  <si>
    <t>US</t>
  </si>
  <si>
    <t>Can</t>
  </si>
  <si>
    <t>Diane Garant</t>
  </si>
  <si>
    <t>ACCESSOIRES</t>
  </si>
  <si>
    <t>Incoterm</t>
  </si>
  <si>
    <t>Colis assuré</t>
  </si>
  <si>
    <t>Valeur assurée</t>
  </si>
  <si>
    <t>S/N</t>
  </si>
  <si>
    <t>SCANNER(S) &amp; CAMERA(S)</t>
  </si>
  <si>
    <t>Boîte</t>
  </si>
  <si>
    <t>Enveloppe</t>
  </si>
  <si>
    <t>DENDRO_Option5</t>
  </si>
  <si>
    <t>☐ Win Man</t>
  </si>
  <si>
    <t>☐ Reliée au Man</t>
  </si>
  <si>
    <t>☐ Tête barrée</t>
  </si>
  <si>
    <t>#Facture</t>
  </si>
  <si>
    <t>Kazakhstan</t>
  </si>
  <si>
    <t>sales@regentinstruments.com</t>
  </si>
  <si>
    <t>•</t>
  </si>
  <si>
    <t>Home_En :</t>
  </si>
  <si>
    <t>Home_Fr :</t>
  </si>
  <si>
    <t>Home Title En</t>
  </si>
  <si>
    <t>Home Title FR</t>
  </si>
  <si>
    <t>Box __ of __</t>
  </si>
  <si>
    <t>incl.</t>
  </si>
  <si>
    <t>Paiement dû</t>
  </si>
  <si>
    <t xml:space="preserve">WinRHIZO™ Basic </t>
  </si>
  <si>
    <t xml:space="preserve">WinRHIZO™ Reg </t>
  </si>
  <si>
    <t xml:space="preserve">WinRHIZO™ Pro </t>
  </si>
  <si>
    <t xml:space="preserve">WinRHIZO™ Arabidopsis </t>
  </si>
  <si>
    <t>WinRHIZO™</t>
  </si>
  <si>
    <t>WinSEEDLE™</t>
  </si>
  <si>
    <t>WinFOLIA™</t>
  </si>
  <si>
    <t>WinCAM™</t>
  </si>
  <si>
    <t>WinDENDRO™</t>
  </si>
  <si>
    <t>WinCELL™</t>
  </si>
  <si>
    <t>WinSCANOPY™</t>
  </si>
  <si>
    <t>WinRHIZO Tron™</t>
  </si>
  <si>
    <t>Quote #</t>
  </si>
  <si>
    <t xml:space="preserve">WinDENDRO™ Basic </t>
  </si>
  <si>
    <t xml:space="preserve">WinDENDRO™ Reg </t>
  </si>
  <si>
    <t xml:space="preserve">WinDENDRO™ Density </t>
  </si>
  <si>
    <t xml:space="preserve">WinCELL™ Reg </t>
  </si>
  <si>
    <t xml:space="preserve">WinCELL™ Pro </t>
  </si>
  <si>
    <t xml:space="preserve">WinRHIZO Tron™ Reg </t>
  </si>
  <si>
    <t xml:space="preserve">WinRHIZO Tron™ MF </t>
  </si>
  <si>
    <t xml:space="preserve">WinFOLIA™ Basic </t>
  </si>
  <si>
    <t xml:space="preserve">WinFOLIA™ Reg </t>
  </si>
  <si>
    <t xml:space="preserve">WinFOLIA™ Pro </t>
  </si>
  <si>
    <t xml:space="preserve">WinSEEDLE™ Reg </t>
  </si>
  <si>
    <t xml:space="preserve">WinSEEDLE™ Pro </t>
  </si>
  <si>
    <t xml:space="preserve">WinSCANOPY™ Mini </t>
  </si>
  <si>
    <t xml:space="preserve">WinSCANOPY™ Reg </t>
  </si>
  <si>
    <t xml:space="preserve">WinSCANOPY™ Pro </t>
  </si>
  <si>
    <t>WinDENDRO™ Basic 32&amp;64bit</t>
  </si>
  <si>
    <t>WinDENDRO™ Reg 32&amp;64bit</t>
  </si>
  <si>
    <t>WinDENDRO™ Density 32&amp;64bit</t>
  </si>
  <si>
    <t>WinCELL™ Pro 32&amp;64bit</t>
  </si>
  <si>
    <t>WinRHIZO™ Basic 32&amp;64bit</t>
  </si>
  <si>
    <t>WinRHIZO™ Reg 32&amp;64bit</t>
  </si>
  <si>
    <t>WinRHIZO™ Pro 32&amp;64bit</t>
  </si>
  <si>
    <t>WinRHIZO™ Arabidopsis 32&amp;64bit</t>
  </si>
  <si>
    <t>WinRHIZO Tron™ Reg 32&amp;64bit</t>
  </si>
  <si>
    <t>WinRHIZO Tron™ MF 32&amp;64bit</t>
  </si>
  <si>
    <t>WinFOLIA™ Basic 32&amp;64bit</t>
  </si>
  <si>
    <t>WinFOLIA™ Reg 32&amp;64bit</t>
  </si>
  <si>
    <t>WinFOLIA™ Pro 32&amp;64bit</t>
  </si>
  <si>
    <t>WinSEEDLE™ Reg 32&amp;64bit</t>
  </si>
  <si>
    <t>WinSEEDLE™ Pro 32&amp;64bit</t>
  </si>
  <si>
    <t>WinSCANOPY™ Mini 32&amp;64bit</t>
  </si>
  <si>
    <t>WinSCANOPY™ Reg 32&amp;64bit</t>
  </si>
  <si>
    <t>WinSCANOPY™ Pro 32&amp;64bit</t>
  </si>
  <si>
    <t xml:space="preserve">T: (418) 653-1347 </t>
  </si>
  <si>
    <t>FOLIA_Option4</t>
  </si>
  <si>
    <t>WinCAM™ NDVI Pro 32&amp;64bit</t>
  </si>
  <si>
    <t xml:space="preserve">WinCAM™ NDVI Pro </t>
  </si>
  <si>
    <t>CAM_Option4</t>
  </si>
  <si>
    <t>STD4800</t>
  </si>
  <si>
    <t>LA2400</t>
  </si>
  <si>
    <t>LC4800P</t>
  </si>
  <si>
    <t>RHIZO_Option5</t>
  </si>
  <si>
    <t>SEEDLE_Option5</t>
  </si>
  <si>
    <t>LA</t>
  </si>
  <si>
    <t>RHIZO_Option6</t>
  </si>
  <si>
    <t>RHIZO_Option7</t>
  </si>
  <si>
    <t>RHIZO_Option8</t>
  </si>
  <si>
    <t>RHIZO_Option9</t>
  </si>
  <si>
    <t>RHIZO_Option10</t>
  </si>
  <si>
    <t>RHIZO_Option11</t>
  </si>
  <si>
    <t>RHIZO_Option12</t>
  </si>
  <si>
    <t>SEEDLE_Option6</t>
  </si>
  <si>
    <t>SEEDLE_Option7</t>
  </si>
  <si>
    <t>SEEDLE_Option8</t>
  </si>
  <si>
    <t>SEEDLE_Option9</t>
  </si>
  <si>
    <t>SEEDLE_Option10</t>
  </si>
  <si>
    <t>SEEDLE_Option11</t>
  </si>
  <si>
    <t>SEEDLE_Option12</t>
  </si>
  <si>
    <t>25x19x13</t>
  </si>
  <si>
    <t>31x25x13</t>
  </si>
  <si>
    <t>31x25x11</t>
  </si>
  <si>
    <t>20x15x7</t>
  </si>
  <si>
    <t>20x18x11</t>
  </si>
  <si>
    <t>30x21x11</t>
  </si>
  <si>
    <t>Tray total, not used here</t>
  </si>
  <si>
    <t>19.25x14.5x4.33</t>
  </si>
  <si>
    <t>NO SCANNER</t>
  </si>
  <si>
    <t>Column1</t>
  </si>
  <si>
    <t>POIDS LC NO SCAN</t>
  </si>
  <si>
    <t>POIDS OPY NO-Mount</t>
  </si>
  <si>
    <t>☐ Manuel &amp; Logiciel manufacturier</t>
  </si>
  <si>
    <t>☐ Slides holders</t>
  </si>
  <si>
    <t>Home_En (Pas Same Client) :</t>
  </si>
  <si>
    <t>Home_Fr (Pas Same Client) :</t>
  </si>
  <si>
    <t xml:space="preserve">     Clé S/N</t>
  </si>
  <si>
    <t>Total tray in Rhizo+Seedle sheets</t>
  </si>
  <si>
    <t>Trays totaux une fois imbriqués</t>
  </si>
  <si>
    <t>Dominant scanner type</t>
  </si>
  <si>
    <t>Hardware</t>
  </si>
  <si>
    <t>ShowSoft</t>
  </si>
  <si>
    <t>ShowHard</t>
  </si>
  <si>
    <t>☐ COMPLET</t>
  </si>
  <si>
    <t>Clé</t>
  </si>
  <si>
    <t>Sac</t>
  </si>
  <si>
    <t>Access</t>
  </si>
  <si>
    <t>Access2</t>
  </si>
  <si>
    <t>Access3</t>
  </si>
  <si>
    <t>Access4</t>
  </si>
  <si>
    <t>Access5</t>
  </si>
  <si>
    <t>☐ 12x16" PICK:</t>
  </si>
  <si>
    <t xml:space="preserve">☐ 18x24" PICK:        </t>
  </si>
  <si>
    <t>☐ Core Posi LA (Frame+Block)</t>
  </si>
  <si>
    <t>Posi</t>
  </si>
  <si>
    <t>☐ 110V</t>
  </si>
  <si>
    <t>220V : ☐ C</t>
  </si>
  <si>
    <t>☐ G</t>
  </si>
  <si>
    <t>☐ I</t>
  </si>
  <si>
    <t>☐ E</t>
  </si>
  <si>
    <t>☐ License</t>
  </si>
  <si>
    <t>☐ QuickSetUp</t>
  </si>
  <si>
    <t>☐ Epson Fond Blanc</t>
  </si>
  <si>
    <t>☐ 22 cm Core Holder</t>
  </si>
  <si>
    <t xml:space="preserve">   ☐ 36 cm Core Holder</t>
  </si>
  <si>
    <t>☐ Core Posi STD (Block)</t>
  </si>
  <si>
    <t>☐ Quick SetUp</t>
  </si>
  <si>
    <t>☐ Blue Reflectance Target        S/N</t>
  </si>
  <si>
    <t>Destination --&gt;</t>
  </si>
  <si>
    <t>Germany</t>
  </si>
  <si>
    <t>Turkey</t>
  </si>
  <si>
    <t>Australia</t>
  </si>
  <si>
    <t>Chile</t>
  </si>
  <si>
    <t>India</t>
  </si>
  <si>
    <t>Malaysia</t>
  </si>
  <si>
    <t>Vancouver</t>
  </si>
  <si>
    <t>Product</t>
  </si>
  <si>
    <t>* = Shipped by Ground service (not air)</t>
  </si>
  <si>
    <r>
      <rPr>
        <b/>
        <sz val="12"/>
        <color theme="9"/>
        <rFont val="Calibri (Body)"/>
      </rPr>
      <t>**</t>
    </r>
    <r>
      <rPr>
        <b/>
        <sz val="12"/>
        <color theme="1"/>
        <rFont val="Calibri"/>
        <family val="2"/>
        <scheme val="minor"/>
      </rPr>
      <t xml:space="preserve"> </t>
    </r>
    <r>
      <rPr>
        <b/>
        <sz val="12"/>
        <color theme="9"/>
        <rFont val="Calibri (Body)"/>
      </rPr>
      <t>SLS = Special Lighting System required to scan roots, seedles or xray films. Optional for leaves.</t>
    </r>
  </si>
  <si>
    <t>CANADIAN DOLLARS</t>
  </si>
  <si>
    <t>1 to 4 Software alone</t>
  </si>
  <si>
    <r>
      <t xml:space="preserve">LA Scanner </t>
    </r>
    <r>
      <rPr>
        <b/>
        <sz val="12"/>
        <color theme="9"/>
        <rFont val="Calibri (Body)"/>
      </rPr>
      <t>with SLS**</t>
    </r>
    <r>
      <rPr>
        <sz val="12"/>
        <color theme="1"/>
        <rFont val="Calibri (Body)"/>
      </rPr>
      <t xml:space="preserve"> +</t>
    </r>
    <r>
      <rPr>
        <b/>
        <sz val="12"/>
        <color theme="9"/>
        <rFont val="Calibri (Body)"/>
      </rPr>
      <t xml:space="preserve"> </t>
    </r>
    <r>
      <rPr>
        <sz val="12"/>
        <color theme="1"/>
        <rFont val="Calibri"/>
        <family val="2"/>
        <scheme val="minor"/>
      </rPr>
      <t>1 to 4 Software</t>
    </r>
  </si>
  <si>
    <r>
      <t xml:space="preserve">LA Scanner </t>
    </r>
    <r>
      <rPr>
        <b/>
        <sz val="12"/>
        <color theme="9"/>
        <rFont val="Calibri (Body)"/>
      </rPr>
      <t>without SLS**</t>
    </r>
    <r>
      <rPr>
        <sz val="12"/>
        <color theme="1"/>
        <rFont val="Calibri"/>
        <family val="2"/>
        <scheme val="minor"/>
      </rPr>
      <t xml:space="preserve"> &amp; 1 to 4 Software</t>
    </r>
  </si>
  <si>
    <t>WinSCANOPY System + 1 to 4 Software</t>
  </si>
  <si>
    <t>PICK 18 x 24" + 1 to 4 Software</t>
  </si>
  <si>
    <t>☐ Images Demo</t>
  </si>
  <si>
    <t>☐ White Press</t>
  </si>
  <si>
    <t>☐ Blue Press</t>
  </si>
  <si>
    <t>☐ Sticker “Fragile”</t>
  </si>
  <si>
    <t>☐ Étiquette adresse enveloppe intérieure</t>
  </si>
  <si>
    <t>1 Tray or Set of 3 nested trays for STD Scanner</t>
  </si>
  <si>
    <t>3 trays for STD Scanner (not nested or embeeded)</t>
  </si>
  <si>
    <t>1 Tray or Set of 5 nested trays for LA Scanner</t>
  </si>
  <si>
    <t>5 trays for LA Scanner (not nested or embeeded)</t>
  </si>
  <si>
    <t>LC Scanner or PICK 12 x 16" + 1 to 4 Software</t>
  </si>
  <si>
    <t>Carrier/Service</t>
  </si>
  <si>
    <t>Japan</t>
  </si>
  <si>
    <t>TPU  S/N</t>
  </si>
  <si>
    <t>☐ Calib. Targets</t>
  </si>
  <si>
    <t>GoPro 12</t>
  </si>
  <si>
    <t>Lentille</t>
  </si>
  <si>
    <t>UnSplit</t>
  </si>
  <si>
    <t>DescHW</t>
  </si>
  <si>
    <t>CodeH HW</t>
  </si>
  <si>
    <t>DetailedPriceHW</t>
  </si>
  <si>
    <t>QtyHW</t>
  </si>
  <si>
    <t>CAM Scanner</t>
  </si>
  <si>
    <t>DENDRO_USBKey</t>
  </si>
  <si>
    <t>CELL_USBKey</t>
  </si>
  <si>
    <t>FOLIA_USBKey</t>
  </si>
  <si>
    <t>SEEDLE_USBKey</t>
  </si>
  <si>
    <t>CAM_USBKey</t>
  </si>
  <si>
    <t>SCANOPY_USBKey</t>
  </si>
  <si>
    <t>RHIZO_USBKey</t>
  </si>
  <si>
    <t>PACK</t>
  </si>
  <si>
    <t>DENDRO_DownloadOrShip</t>
  </si>
  <si>
    <t>FOLIA_DownloadOrShip</t>
  </si>
  <si>
    <t>CELL_DownloadOrShip</t>
  </si>
  <si>
    <t>RHIZO_DownloadOrShip</t>
  </si>
  <si>
    <t>RHIZOTron_DownloadOrShip</t>
  </si>
  <si>
    <t>SEEDLE_DownloadOrShip</t>
  </si>
  <si>
    <t>CAM_DownloadOrShip</t>
  </si>
  <si>
    <t>SCANOPY_DownloadOrShip</t>
  </si>
  <si>
    <t>RHIZO Tron_USBKey</t>
  </si>
  <si>
    <t>RHIZO Tron_N_Software</t>
  </si>
  <si>
    <t>RHIZO System Posi</t>
  </si>
  <si>
    <t>SEEDLE System Posi</t>
  </si>
  <si>
    <t>sum 2p quote</t>
  </si>
  <si>
    <t>DENDRO_OldGenCal</t>
  </si>
  <si>
    <t>RHIZO_OldGenCal</t>
  </si>
  <si>
    <t>FOLIA_OldGenCal</t>
  </si>
  <si>
    <t>SEEDLE_OldGenCal</t>
  </si>
  <si>
    <t>CAM_OldGenCal</t>
  </si>
  <si>
    <t>DENDRO System Calib Manual</t>
  </si>
  <si>
    <t>RHIZO System Calib Manual</t>
  </si>
  <si>
    <t>FOLIA System Calib Manual</t>
  </si>
  <si>
    <t>SEEDLE System Calib Manual</t>
  </si>
  <si>
    <t>CAM System Calib Manual</t>
  </si>
  <si>
    <t>Commercial</t>
  </si>
  <si>
    <t>Multi système</t>
  </si>
  <si>
    <t>Rhizo</t>
  </si>
  <si>
    <t>RhizoTron</t>
  </si>
  <si>
    <t>Seedle</t>
  </si>
  <si>
    <t>Folia</t>
  </si>
  <si>
    <t>Cam</t>
  </si>
  <si>
    <t>Dendro</t>
  </si>
  <si>
    <t>Cell</t>
  </si>
  <si>
    <t>Scanopy</t>
  </si>
  <si>
    <t>WinRHIZO Tron™ Basic 32&amp;64bit</t>
  </si>
  <si>
    <t>WinSEEDLE™ Basic 32&amp;64bit</t>
  </si>
  <si>
    <t>WinCAM™ NDVI Basic 32&amp;64bit</t>
  </si>
  <si>
    <t>WinCAM™ NDVI Reg 32&amp;64bit</t>
  </si>
  <si>
    <t>WinCELL™ Basic 32&amp;64bit</t>
  </si>
  <si>
    <t>WinCELL™ Reg 32&amp;64bit</t>
  </si>
  <si>
    <t xml:space="preserve">WinCELL™ Basic </t>
  </si>
  <si>
    <t xml:space="preserve">WinSEEDLE™ Basic </t>
  </si>
  <si>
    <t xml:space="preserve">WinRHIZO Tron™ Basic </t>
  </si>
  <si>
    <t xml:space="preserve">WinCAM™ NDVI Reg </t>
  </si>
  <si>
    <t xml:space="preserve">WinCAM™ NDVI Basic </t>
  </si>
  <si>
    <t>Tableau pour Commercial Invoice</t>
  </si>
  <si>
    <t>Date Picker</t>
  </si>
  <si>
    <t>1</t>
  </si>
  <si>
    <t>2</t>
  </si>
  <si>
    <t>3</t>
  </si>
  <si>
    <t>4</t>
  </si>
  <si>
    <t>5</t>
  </si>
  <si>
    <t>6</t>
  </si>
  <si>
    <t>7</t>
  </si>
  <si>
    <t>8</t>
  </si>
  <si>
    <t>9</t>
  </si>
  <si>
    <t>10</t>
  </si>
  <si>
    <t>11</t>
  </si>
  <si>
    <t>12</t>
  </si>
  <si>
    <t>Mois</t>
  </si>
  <si>
    <t>Jan</t>
  </si>
  <si>
    <t>Fév</t>
  </si>
  <si>
    <t>Mar</t>
  </si>
  <si>
    <t>Avr</t>
  </si>
  <si>
    <t>Mai</t>
  </si>
  <si>
    <t>Jun</t>
  </si>
  <si>
    <t>Jui</t>
  </si>
  <si>
    <t>Août</t>
  </si>
  <si>
    <t>Sept</t>
  </si>
  <si>
    <t>Oct</t>
  </si>
  <si>
    <t>Nov</t>
  </si>
  <si>
    <t>Déc</t>
  </si>
  <si>
    <t>DatePick Day</t>
  </si>
  <si>
    <t>DatePick Month</t>
  </si>
  <si>
    <t>Année</t>
  </si>
  <si>
    <t>DatePick Year</t>
  </si>
  <si>
    <t>DatePick Year Index</t>
  </si>
  <si>
    <t>Romania</t>
  </si>
  <si>
    <t>WarningDownload1</t>
  </si>
  <si>
    <t>WarningDownload2</t>
  </si>
  <si>
    <t>Description_Unsplit</t>
  </si>
  <si>
    <t>Harmonized_Code_Unsplit</t>
  </si>
  <si>
    <t>DetailedPrice_Unsplit</t>
  </si>
  <si>
    <t>RealQty_Unsplit</t>
  </si>
  <si>
    <t>Unit Price_Unsplit</t>
  </si>
  <si>
    <t>Ext Price_Unsplit</t>
  </si>
  <si>
    <t>RowNumOfShownItems_Unsplit</t>
  </si>
  <si>
    <t>RowNumOfShownItems_Hard</t>
  </si>
  <si>
    <t>Description_SOFT</t>
  </si>
  <si>
    <t>Harmonized_Code_SOFT</t>
  </si>
  <si>
    <t>DetailedPrice_SOFT</t>
  </si>
  <si>
    <t>RealQty_SOFT</t>
  </si>
  <si>
    <t>RowNumOfShownItems_SOFT</t>
  </si>
  <si>
    <t>Unit_Price_SOFT</t>
  </si>
  <si>
    <t>Ext_Price_SOFT</t>
  </si>
  <si>
    <t>RowNumOfShownItems_COM</t>
  </si>
  <si>
    <t>iRow+2</t>
  </si>
  <si>
    <t>Switzerland</t>
  </si>
  <si>
    <t>Poland</t>
  </si>
  <si>
    <t>Czechia</t>
  </si>
  <si>
    <t>Slovakia</t>
  </si>
  <si>
    <t>Hungary</t>
  </si>
  <si>
    <t>Austria</t>
  </si>
  <si>
    <t>Mexico</t>
  </si>
  <si>
    <t>France</t>
  </si>
  <si>
    <t>UK</t>
  </si>
  <si>
    <t>Ireland</t>
  </si>
  <si>
    <t>Netherlands</t>
  </si>
  <si>
    <t>Belgium</t>
  </si>
  <si>
    <t>Spain</t>
  </si>
  <si>
    <t>Portugal</t>
  </si>
  <si>
    <t>Italy</t>
  </si>
  <si>
    <t>Greece</t>
  </si>
  <si>
    <t>Sweden</t>
  </si>
  <si>
    <t>Norway</t>
  </si>
  <si>
    <t>Finland</t>
  </si>
  <si>
    <t>Denmark</t>
  </si>
  <si>
    <t>Bulgaria</t>
  </si>
  <si>
    <t>Croatia</t>
  </si>
  <si>
    <t>Thailand</t>
  </si>
  <si>
    <t>Singapor</t>
  </si>
  <si>
    <t>South Korea</t>
  </si>
  <si>
    <t>Taiwan</t>
  </si>
  <si>
    <t>China</t>
  </si>
  <si>
    <t>Indonesia</t>
  </si>
  <si>
    <t>Philippines</t>
  </si>
  <si>
    <t>New Zealand</t>
  </si>
  <si>
    <t>Argentina</t>
  </si>
  <si>
    <t>Peru</t>
  </si>
  <si>
    <t>Brazil</t>
  </si>
  <si>
    <t>Costa Rica</t>
  </si>
  <si>
    <t>Colombia</t>
  </si>
  <si>
    <t>Iceland</t>
  </si>
  <si>
    <t>Pakistan</t>
  </si>
  <si>
    <t>Bengladesh</t>
  </si>
  <si>
    <t>Hong Kong</t>
  </si>
  <si>
    <t>Other (Not listed here)</t>
  </si>
  <si>
    <t xml:space="preserve">       </t>
  </si>
  <si>
    <t>Country_Index</t>
  </si>
  <si>
    <t>Country_Names</t>
  </si>
  <si>
    <t xml:space="preserve">Taux de + </t>
  </si>
  <si>
    <t>(cost+10% calcule par Diane )*1.10 du montant le plus eleve dans le pays</t>
  </si>
  <si>
    <t>AMERICA</t>
  </si>
  <si>
    <t>EUROPE</t>
  </si>
  <si>
    <t>OCEANIA ASIA</t>
  </si>
  <si>
    <t>AUTRES</t>
  </si>
  <si>
    <t>Western Europe</t>
  </si>
  <si>
    <t>Southern Europe</t>
  </si>
  <si>
    <t>Northern Europe</t>
  </si>
  <si>
    <t>Europe</t>
  </si>
  <si>
    <t>Germany, Austria, Switzerland, Poland, Czechia (Slovakia), Hungary</t>
  </si>
  <si>
    <t>France, UK, Ireland, Netherlands, Belgium</t>
  </si>
  <si>
    <t>Spain, Portugal, Italy, Greece</t>
  </si>
  <si>
    <t>Sweden, Norway, Finland, Denmark</t>
  </si>
  <si>
    <r>
      <t xml:space="preserve">Bulgaria, </t>
    </r>
    <r>
      <rPr>
        <sz val="10"/>
        <color theme="1"/>
        <rFont val="Calibri (Body)"/>
      </rPr>
      <t>Romania, Croatia</t>
    </r>
    <r>
      <rPr>
        <sz val="10"/>
        <color theme="1"/>
        <rFont val="Calibri"/>
        <family val="2"/>
        <scheme val="minor"/>
      </rPr>
      <t>, Turkey (sauf Greece)</t>
    </r>
  </si>
  <si>
    <t>Thailand, Singapor, South Korea, Taiwan, HongKong (China)</t>
  </si>
  <si>
    <t>China (Shangai, Beijin)</t>
  </si>
  <si>
    <t>Malaysia, Indonesia, Philippines,</t>
  </si>
  <si>
    <t>Australia, New Zealand</t>
  </si>
  <si>
    <t>Chile, Argentina, Peru, Brazil, Costa Rica, Colombia</t>
  </si>
  <si>
    <t>Iceland, Pakistan, Bengladesh</t>
  </si>
  <si>
    <t>Ruber</t>
  </si>
  <si>
    <t>$ to Sip STD Scanner Cette grille cost (cost+10%)*Taux de + ci-haut</t>
  </si>
  <si>
    <t>Item vendu</t>
  </si>
  <si>
    <t>Boite</t>
  </si>
  <si>
    <t xml:space="preserve">Si logiciels seuls </t>
  </si>
  <si>
    <t>1 PACK</t>
  </si>
  <si>
    <t>peu importe le nombre</t>
  </si>
  <si>
    <t>Si un STD Scanner</t>
  </si>
  <si>
    <t>1 Boite STD</t>
  </si>
  <si>
    <t>Si un LA avec TPU</t>
  </si>
  <si>
    <t>2 boites LA</t>
  </si>
  <si>
    <t>Si un LA sans TPU</t>
  </si>
  <si>
    <t>1 boites LA</t>
  </si>
  <si>
    <t>aucun frais de shipping supplementaire si un ou plus logiciels</t>
  </si>
  <si>
    <t>Si un LC Scanner</t>
  </si>
  <si>
    <t>1 Boite LC</t>
  </si>
  <si>
    <t>Si 1 Syst Opy OMount</t>
  </si>
  <si>
    <t>1 Boite OMount</t>
  </si>
  <si>
    <t>Si un PICK 12x16</t>
  </si>
  <si>
    <t>1 Boite PICK 12x16</t>
  </si>
  <si>
    <t>Si un PICK 18x24</t>
  </si>
  <si>
    <t>1 Boite PICK 18x24</t>
  </si>
  <si>
    <t>n Trays</t>
  </si>
  <si>
    <t>choisir boite selon le nombre de trays</t>
  </si>
  <si>
    <t>et additionner aux items ci-haut (si n&gt;1 tray ou 1 set)</t>
  </si>
  <si>
    <t>Ext_PriceHW</t>
  </si>
  <si>
    <t>Unit_PriceHW</t>
  </si>
  <si>
    <t>Extended_price</t>
  </si>
  <si>
    <t>Unit_Price</t>
  </si>
  <si>
    <t>Detailed_Ext_Price</t>
  </si>
  <si>
    <t>Harmonized_Code</t>
  </si>
  <si>
    <t>Real_Quantity</t>
  </si>
  <si>
    <t>AFRICA</t>
  </si>
  <si>
    <t>Index</t>
  </si>
  <si>
    <t>Morocco</t>
  </si>
  <si>
    <t>Kenya</t>
  </si>
  <si>
    <t>Ethiopia</t>
  </si>
  <si>
    <t>South Africa</t>
  </si>
  <si>
    <t>Egypt</t>
  </si>
  <si>
    <t>Nigeria</t>
  </si>
  <si>
    <t>Continent</t>
  </si>
  <si>
    <t>Africa</t>
  </si>
  <si>
    <t>Algeria</t>
  </si>
  <si>
    <t>Angola</t>
  </si>
  <si>
    <t>Benin</t>
  </si>
  <si>
    <t>Botswana</t>
  </si>
  <si>
    <t>Burkina</t>
  </si>
  <si>
    <t>Burundi</t>
  </si>
  <si>
    <t>Cameroon</t>
  </si>
  <si>
    <t>Chad</t>
  </si>
  <si>
    <t>Comoros</t>
  </si>
  <si>
    <t>Congo</t>
  </si>
  <si>
    <t>Congo, Democratic Republic of</t>
  </si>
  <si>
    <t>Djibouti</t>
  </si>
  <si>
    <t>Guinea</t>
  </si>
  <si>
    <t>Eritrea</t>
  </si>
  <si>
    <t>Gabon</t>
  </si>
  <si>
    <t>Gambia</t>
  </si>
  <si>
    <t>Ghana</t>
  </si>
  <si>
    <t>Guinea-Bissau</t>
  </si>
  <si>
    <t>Lesotho</t>
  </si>
  <si>
    <t>Liberia</t>
  </si>
  <si>
    <t>Libya</t>
  </si>
  <si>
    <t>Madagascar</t>
  </si>
  <si>
    <t>Malawi</t>
  </si>
  <si>
    <t>Mali</t>
  </si>
  <si>
    <t>Mauritania</t>
  </si>
  <si>
    <t>Mauritius</t>
  </si>
  <si>
    <t>Mozambique</t>
  </si>
  <si>
    <t>Namibia</t>
  </si>
  <si>
    <t>Niger</t>
  </si>
  <si>
    <t>Rwanda</t>
  </si>
  <si>
    <t>Senegal</t>
  </si>
  <si>
    <t>Seychelles</t>
  </si>
  <si>
    <t>Somalia</t>
  </si>
  <si>
    <t>Sudan</t>
  </si>
  <si>
    <t>Swaziland</t>
  </si>
  <si>
    <t>Tanzania</t>
  </si>
  <si>
    <t>Togo</t>
  </si>
  <si>
    <t>Tunisia</t>
  </si>
  <si>
    <t>Uganda</t>
  </si>
  <si>
    <t>Zambia</t>
  </si>
  <si>
    <t>Zimbabwe</t>
  </si>
  <si>
    <t>Asia</t>
  </si>
  <si>
    <t>Afghanistan</t>
  </si>
  <si>
    <t>Bahrain</t>
  </si>
  <si>
    <t>Bangladesh</t>
  </si>
  <si>
    <t>Bhutan</t>
  </si>
  <si>
    <t>Brunei</t>
  </si>
  <si>
    <t>Cambodia</t>
  </si>
  <si>
    <t>Iran</t>
  </si>
  <si>
    <t>Iraq</t>
  </si>
  <si>
    <t>Israel</t>
  </si>
  <si>
    <t>Jordan</t>
  </si>
  <si>
    <t>Korea, North</t>
  </si>
  <si>
    <t>Korea, South</t>
  </si>
  <si>
    <t>Kuwait</t>
  </si>
  <si>
    <t>Kyrgyzstan</t>
  </si>
  <si>
    <t>Laos</t>
  </si>
  <si>
    <t>Lebanon</t>
  </si>
  <si>
    <t>Maldives</t>
  </si>
  <si>
    <t>Mongolia</t>
  </si>
  <si>
    <t>Nepal</t>
  </si>
  <si>
    <t>Oman</t>
  </si>
  <si>
    <t>Qatar</t>
  </si>
  <si>
    <t>Singapore</t>
  </si>
  <si>
    <t>Syria</t>
  </si>
  <si>
    <t>Tajikistan</t>
  </si>
  <si>
    <t>Turkmenistan</t>
  </si>
  <si>
    <t>Uzbekistan</t>
  </si>
  <si>
    <t>Vietnam</t>
  </si>
  <si>
    <t>Yemen</t>
  </si>
  <si>
    <t>Albania</t>
  </si>
  <si>
    <t>Andorra</t>
  </si>
  <si>
    <t>Armenia</t>
  </si>
  <si>
    <t>Azerbaijan</t>
  </si>
  <si>
    <t>Belarus</t>
  </si>
  <si>
    <t>Cyprus</t>
  </si>
  <si>
    <t>CZ</t>
  </si>
  <si>
    <t>Estonia</t>
  </si>
  <si>
    <t>Georgia</t>
  </si>
  <si>
    <t>Latvia</t>
  </si>
  <si>
    <t>Liechtenstein</t>
  </si>
  <si>
    <t>Lithuania</t>
  </si>
  <si>
    <t>Luxembourg</t>
  </si>
  <si>
    <t>Macedonia</t>
  </si>
  <si>
    <t>Malta</t>
  </si>
  <si>
    <t>Moldova</t>
  </si>
  <si>
    <t>Monaco</t>
  </si>
  <si>
    <t>Montenegro</t>
  </si>
  <si>
    <t>Serbia</t>
  </si>
  <si>
    <t>Slovenia</t>
  </si>
  <si>
    <t>Ukraine</t>
  </si>
  <si>
    <t>Bahamas</t>
  </si>
  <si>
    <t>Barbados</t>
  </si>
  <si>
    <t>Belize</t>
  </si>
  <si>
    <t>Cuba</t>
  </si>
  <si>
    <t>Dominica</t>
  </si>
  <si>
    <t>Grenada</t>
  </si>
  <si>
    <t>Guatemala</t>
  </si>
  <si>
    <t>Haiti</t>
  </si>
  <si>
    <t>Honduras</t>
  </si>
  <si>
    <t>Jamaica</t>
  </si>
  <si>
    <t>Nicaragua</t>
  </si>
  <si>
    <t>Panama</t>
  </si>
  <si>
    <t>Oceania</t>
  </si>
  <si>
    <t>Fiji</t>
  </si>
  <si>
    <t>Kiribati</t>
  </si>
  <si>
    <t>Micronesia</t>
  </si>
  <si>
    <t>Nauru</t>
  </si>
  <si>
    <t>Palau</t>
  </si>
  <si>
    <t>Samoa</t>
  </si>
  <si>
    <t>Tonga</t>
  </si>
  <si>
    <t>Tuvalu</t>
  </si>
  <si>
    <t>Vanuatu</t>
  </si>
  <si>
    <t>Bolivia</t>
  </si>
  <si>
    <t>Ecuador</t>
  </si>
  <si>
    <t>Guyana</t>
  </si>
  <si>
    <t>Paraguay</t>
  </si>
  <si>
    <t>Suriname</t>
  </si>
  <si>
    <t>Uruguay</t>
  </si>
  <si>
    <t>Venezuela</t>
  </si>
  <si>
    <t>Cape Verde</t>
  </si>
  <si>
    <t>Central African Republic</t>
  </si>
  <si>
    <t>Equatorial Guinea</t>
  </si>
  <si>
    <t>Ivory Coast</t>
  </si>
  <si>
    <t>Sao Tome and Principe</t>
  </si>
  <si>
    <t>Sierra Leone</t>
  </si>
  <si>
    <t>South Sudan</t>
  </si>
  <si>
    <t>Burma (Myanmar)</t>
  </si>
  <si>
    <t>East Timor</t>
  </si>
  <si>
    <t>Russian Federation</t>
  </si>
  <si>
    <t>Saudi Arabia</t>
  </si>
  <si>
    <t>Sri Lanka</t>
  </si>
  <si>
    <t>United Arab Emirates</t>
  </si>
  <si>
    <t>Bosnia and Herzegovina</t>
  </si>
  <si>
    <t>San Marino</t>
  </si>
  <si>
    <t>United Kingdom</t>
  </si>
  <si>
    <t>Vatican City</t>
  </si>
  <si>
    <t>North America</t>
  </si>
  <si>
    <t>Antigua and Barbuda</t>
  </si>
  <si>
    <t>Dominican Republic</t>
  </si>
  <si>
    <t>El Salvador</t>
  </si>
  <si>
    <t>Saint Kitts and Nevis</t>
  </si>
  <si>
    <t>Saint Lucia</t>
  </si>
  <si>
    <t>Saint Vincent and the Grenadines</t>
  </si>
  <si>
    <t>Trinidad and Tobago</t>
  </si>
  <si>
    <t>Marshall Islands</t>
  </si>
  <si>
    <t>Papua New Guinea</t>
  </si>
  <si>
    <t>Solomon Islands</t>
  </si>
  <si>
    <t>South America</t>
  </si>
  <si>
    <t>Others</t>
  </si>
  <si>
    <t>Original List =1 (Autre = 0)</t>
  </si>
  <si>
    <t>aucun frais de shipping supp si un ou plus logiciels, pas de frais sup si 1 ou 1 set de 3 trays</t>
  </si>
  <si>
    <t>aucun frais de shipping supp si un ou plus logiciels, pas de frais sup si 1 ou 1 set de 5 trays</t>
  </si>
  <si>
    <t>FilteredCountry</t>
  </si>
  <si>
    <t>rownum</t>
  </si>
  <si>
    <t>FoundInSearch</t>
  </si>
  <si>
    <t>SOUTH AM.</t>
  </si>
  <si>
    <t>ICE-PAK</t>
  </si>
  <si>
    <t>HawaiI</t>
  </si>
  <si>
    <t>Central Europe 601</t>
  </si>
  <si>
    <t>Southeastern Europe 608</t>
  </si>
  <si>
    <t>IcePakBeng</t>
  </si>
  <si>
    <t>AUTRE</t>
  </si>
  <si>
    <t>iceland</t>
  </si>
  <si>
    <t>Hawai</t>
  </si>
  <si>
    <t>Hawaii, Alaska</t>
  </si>
  <si>
    <t>Morocco, Kenya, Ethiopia, South Africa, Egypt-, Nigeria+</t>
  </si>
  <si>
    <t>Hawai, Alaska</t>
  </si>
  <si>
    <t>$ to Sip STD Scanner Cost + 10% (calculee par Diane)</t>
  </si>
  <si>
    <t>Ratio to Europe ou USA</t>
  </si>
  <si>
    <t>N Softwares alone</t>
  </si>
  <si>
    <r>
      <t>STD Scanner (</t>
    </r>
    <r>
      <rPr>
        <b/>
        <sz val="12"/>
        <color theme="9"/>
        <rFont val="Calibri (Body)"/>
      </rPr>
      <t>SLS**</t>
    </r>
    <r>
      <rPr>
        <sz val="12"/>
        <color theme="1"/>
        <rFont val="Calibri"/>
        <family val="2"/>
        <scheme val="minor"/>
      </rPr>
      <t xml:space="preserve"> always included)</t>
    </r>
  </si>
  <si>
    <r>
      <t xml:space="preserve">LA Scanner </t>
    </r>
    <r>
      <rPr>
        <b/>
        <sz val="12"/>
        <color theme="9"/>
        <rFont val="Calibri (Body)"/>
      </rPr>
      <t>with SLS**</t>
    </r>
  </si>
  <si>
    <r>
      <t xml:space="preserve">LA Scanner </t>
    </r>
    <r>
      <rPr>
        <b/>
        <sz val="12"/>
        <color theme="9"/>
        <rFont val="Calibri (Body)"/>
      </rPr>
      <t>without SLS**</t>
    </r>
  </si>
  <si>
    <t>WinSCANOPY System</t>
  </si>
  <si>
    <t>STD sans Scanner, LC Scanner, PICK 12 x 16"</t>
  </si>
  <si>
    <t>LA sans scanner</t>
  </si>
  <si>
    <t>LA sans scanner + Extras (=1.25 * LA Sans Scanner d'apres test)</t>
  </si>
  <si>
    <t>PICK 18 x 24"</t>
  </si>
  <si>
    <t>Vert = Calculé par Diane</t>
  </si>
  <si>
    <t>Noir = Estimé basee sur STD Scaner ou LA Sans Scanner</t>
  </si>
  <si>
    <t>USA (Hawaii)</t>
  </si>
  <si>
    <t>USA (Alaska)</t>
  </si>
  <si>
    <t>en jaune : à confirmer</t>
  </si>
  <si>
    <t>HowManyHardwareBought</t>
  </si>
  <si>
    <t>Commentaires pour Shipping Costs</t>
  </si>
  <si>
    <t>No XL</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</si>
  <si>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and "Internet Download" options on the "Quote" sheet. Hover the mouse over them at the top center of the quote (above Ship To) to get a description of what they do.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</si>
  <si>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and "Internet Download" options on the "Quote" sheet. Hover the mouse over them at the top center of the quote (above Ship To) to get a description of what they do.</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</si>
  <si>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nos options "Split in 2 Invoices" et "Internet Download" sur la feuille "Quote". Passez la souris sur ces options en haut au centre du devis (au-dessus de "Livraison") pour obtenir une description de leur fonction.</t>
    </r>
    <r>
      <rPr>
        <sz val="12"/>
        <color theme="1"/>
        <rFont val="Calibri"/>
        <family val="2"/>
        <scheme val="minor"/>
      </rPr>
      <t xml:space="preserve">
</t>
    </r>
    <r>
      <rPr>
        <b/>
        <i/>
        <sz val="20"/>
        <color rgb="FF1185EF"/>
        <rFont val="Calibri (Body)"/>
      </rPr>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</si>
  <si>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nos options "Split in 2 Invoices" et "Internet Download" sur la feuille "Quote". Passez la souris sur ces options en haut au centre du devis (au-dessus de "Livraison") pour obtenir une description de leur fonction.</t>
    </r>
  </si>
  <si>
    <t>SCANOPY System Calib Manual</t>
  </si>
  <si>
    <t>(utilisé juste indirectement vu calcul à part de Case+Mount)</t>
  </si>
  <si>
    <t>☐ Vérifiée</t>
  </si>
  <si>
    <t>United States</t>
  </si>
  <si>
    <t>Minimum Fee</t>
  </si>
  <si>
    <t>24x20x8</t>
  </si>
  <si>
    <t>PAK</t>
  </si>
  <si>
    <t>16x13x7</t>
  </si>
  <si>
    <t>Flags</t>
  </si>
  <si>
    <t>Euros</t>
  </si>
  <si>
    <t>USA North America</t>
  </si>
  <si>
    <t>☐ Testé</t>
  </si>
  <si>
    <t>Code Facture</t>
  </si>
  <si>
    <t>AFR_NE</t>
  </si>
  <si>
    <t>AFR_E</t>
  </si>
  <si>
    <t>AFR_O</t>
  </si>
  <si>
    <t>AFR_S</t>
  </si>
  <si>
    <t>ASIE_E</t>
  </si>
  <si>
    <t>ASIE_S</t>
  </si>
  <si>
    <t>ASIE_SE</t>
  </si>
  <si>
    <t>ASIE_O</t>
  </si>
  <si>
    <t>OCEANIA</t>
  </si>
  <si>
    <t>EU_C</t>
  </si>
  <si>
    <t>EU_O</t>
  </si>
  <si>
    <t>EU_S</t>
  </si>
  <si>
    <t>EU_N</t>
  </si>
  <si>
    <t>EU_SE</t>
  </si>
  <si>
    <t>AM_C</t>
  </si>
  <si>
    <t>AM_S</t>
  </si>
  <si>
    <t>EU_NO</t>
  </si>
  <si>
    <t>CAN</t>
  </si>
  <si>
    <t>MEX</t>
  </si>
  <si>
    <t>SCANOPY BigTripod option</t>
  </si>
  <si>
    <t>Tripod Box</t>
  </si>
  <si>
    <t>Tripod Weight</t>
  </si>
  <si>
    <t>*Note 1:</t>
  </si>
  <si>
    <t>Note 2:</t>
  </si>
  <si>
    <t>18 x 14 x 11</t>
  </si>
  <si>
    <t>Variable d'augmentation:</t>
  </si>
  <si>
    <t>DENDRO_N_UpgradeUpdateOnly</t>
  </si>
  <si>
    <t>CELL_N_UpgradeUpdateOnly</t>
  </si>
  <si>
    <t>RHIZO_N_UpgradeUpdateOnly</t>
  </si>
  <si>
    <t>RHIZO Tron_N_UpgradeUpdateOnly</t>
  </si>
  <si>
    <t>FOLIA_N_UpgradeUpdateOnly</t>
  </si>
  <si>
    <t>SEEDLE_N_UpgradeUpdateOnly</t>
  </si>
  <si>
    <t>CAM_N_UpgradeUpdateOnly</t>
  </si>
  <si>
    <t>SCANOPY_N_UpgradeUpdateOnly</t>
  </si>
  <si>
    <t xml:space="preserve">     Normalement inutilisé vu pas de système</t>
  </si>
  <si>
    <t>Versions AVEC mention de digital/internet download ci-dessous</t>
  </si>
  <si>
    <t>Versions SANS mention de digital/internet download ci-dessous</t>
  </si>
  <si>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 xml:space="preserve">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
    </r>
    <r>
      <rPr>
        <b/>
        <sz val="13"/>
        <color rgb="FF00B050"/>
        <rFont val="Calibri (Body)"/>
      </rPr>
      <t>You get a discount when ordering more than one item of the same product: 10% on the 2</t>
    </r>
    <r>
      <rPr>
        <b/>
        <vertAlign val="superscript"/>
        <sz val="13"/>
        <color rgb="FF00B050"/>
        <rFont val="Calibri (Body)"/>
      </rPr>
      <t>nd</t>
    </r>
    <r>
      <rPr>
        <b/>
        <sz val="13"/>
        <color rgb="FF00B050"/>
        <rFont val="Calibri (Body)"/>
      </rPr>
      <t xml:space="preserve"> one, 20% on the 3</t>
    </r>
    <r>
      <rPr>
        <b/>
        <vertAlign val="superscript"/>
        <sz val="13"/>
        <color rgb="FF00B050"/>
        <rFont val="Calibri (Body)"/>
      </rPr>
      <t>rd</t>
    </r>
    <r>
      <rPr>
        <b/>
        <sz val="13"/>
        <color rgb="FF00B050"/>
        <rFont val="Calibri (Body)"/>
      </rPr>
      <t>, 30% on the 4</t>
    </r>
    <r>
      <rPr>
        <b/>
        <vertAlign val="superscript"/>
        <sz val="13"/>
        <color rgb="FF00B050"/>
        <rFont val="Calibri (Body)"/>
      </rPr>
      <t>th</t>
    </r>
    <r>
      <rPr>
        <b/>
        <sz val="13"/>
        <color rgb="FF00B050"/>
        <rFont val="Calibri (Body)"/>
      </rPr>
      <t xml:space="preserve"> and so on up to 60%</t>
    </r>
    <r>
      <rPr>
        <sz val="13"/>
        <color rgb="FF00B050"/>
        <rFont val="Calibri (Body)"/>
      </rPr>
      <t>. Also valid when purchasing additional ones later on.</t>
    </r>
    <r>
      <rPr>
        <sz val="12"/>
        <color rgb="FF00B050"/>
        <rFont val="Calibri (Body)"/>
      </rPr>
      <t xml:space="preserve">
</t>
    </r>
    <r>
      <rPr>
        <sz val="12"/>
        <color theme="1"/>
        <rFont val="Calibri"/>
        <family val="2"/>
        <scheme val="minor"/>
      </rPr>
      <t xml:space="preserve">
</t>
    </r>
    <r>
      <rPr>
        <b/>
        <sz val="13"/>
        <color rgb="FFC00000"/>
        <rFont val="Calibri (Body)"/>
      </rPr>
      <t>You get a larger discount when ordering more than one family of products: 20% on the 2</t>
    </r>
    <r>
      <rPr>
        <b/>
        <vertAlign val="superscript"/>
        <sz val="13"/>
        <color rgb="FFC00000"/>
        <rFont val="Calibri (Body)"/>
      </rPr>
      <t>nd</t>
    </r>
    <r>
      <rPr>
        <b/>
        <sz val="13"/>
        <color rgb="FFC00000"/>
        <rFont val="Calibri (Body)"/>
      </rPr>
      <t xml:space="preserve"> one, 40% on the 3</t>
    </r>
    <r>
      <rPr>
        <b/>
        <vertAlign val="superscript"/>
        <sz val="13"/>
        <color rgb="FFC00000"/>
        <rFont val="Calibri (Body)"/>
      </rPr>
      <t>rd</t>
    </r>
    <r>
      <rPr>
        <b/>
        <sz val="13"/>
        <color rgb="FFC00000"/>
        <rFont val="Calibri (Body)"/>
      </rPr>
      <t>, 60% on the 4</t>
    </r>
    <r>
      <rPr>
        <b/>
        <vertAlign val="superscript"/>
        <sz val="13"/>
        <color rgb="FFC00000"/>
        <rFont val="Calibri (Body)"/>
      </rPr>
      <t>th</t>
    </r>
    <r>
      <rPr>
        <b/>
        <sz val="13"/>
        <color rgb="FFC00000"/>
        <rFont val="Calibri (Body)"/>
      </rPr>
      <t xml:space="preserve"> and over, for the same client, on the same invoice and shipment.</t>
    </r>
    <r>
      <rPr>
        <sz val="12"/>
        <color theme="1"/>
        <rFont val="Calibri"/>
        <family val="2"/>
        <scheme val="minor"/>
      </rPr>
      <t xml:space="preserve">
To lower shipping and import fees, see our "Split in 2 Invoices" option on the "Quote" sheet. Hover the mouse over it at the top center of the quote (above Ship To) to get a description of what it does.
</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</si>
  <si>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 xml:space="preserve">pour l'afficher.
Si vous ne pouvez pas acheter directement auprès de nous, consultez nos distributeurs sur la feuille "Dist".
Vous pouvez aussi obtenir les prix par article (sans rabais) dans la liste de prix statique en cliquant sur les onglets "Static $" dans le coin inférieur droit. Faites défiler les onglets ou agrandissez la largeur de la feuille si vous ne les voyez pas.
</t>
    </r>
    <r>
      <rPr>
        <b/>
        <sz val="13"/>
        <color rgb="FF00B050"/>
        <rFont val="Calibri (Body)"/>
      </rPr>
      <t>Un rabais est offert avec plus d'un article du même produit : 10% sur le 2</t>
    </r>
    <r>
      <rPr>
        <b/>
        <vertAlign val="superscript"/>
        <sz val="13"/>
        <color rgb="FF00B050"/>
        <rFont val="Calibri (Body)"/>
      </rPr>
      <t>e</t>
    </r>
    <r>
      <rPr>
        <b/>
        <sz val="13"/>
        <color rgb="FF00B050"/>
        <rFont val="Calibri (Body)"/>
      </rPr>
      <t xml:space="preserve"> 20% sur le 3</t>
    </r>
    <r>
      <rPr>
        <b/>
        <vertAlign val="superscript"/>
        <sz val="13"/>
        <color rgb="FF00B050"/>
        <rFont val="Calibri (Body)"/>
      </rPr>
      <t>e</t>
    </r>
    <r>
      <rPr>
        <b/>
        <sz val="13"/>
        <color rgb="FF00B050"/>
        <rFont val="Calibri (Body)"/>
      </rPr>
      <t xml:space="preserve"> 30% sur le 4</t>
    </r>
    <r>
      <rPr>
        <b/>
        <vertAlign val="superscript"/>
        <sz val="13"/>
        <color rgb="FF00B050"/>
        <rFont val="Calibri (Body)"/>
      </rPr>
      <t>e</t>
    </r>
    <r>
      <rPr>
        <b/>
        <sz val="13"/>
        <color rgb="FF00B050"/>
        <rFont val="Calibri (Body)"/>
      </rPr>
      <t xml:space="preserve"> et ainsi de suite jusqu'à 60%</t>
    </r>
    <r>
      <rPr>
        <sz val="13"/>
        <color rgb="FF00B050"/>
        <rFont val="Calibri (Body)"/>
      </rPr>
      <t>. Aussi valable pour l'achat ultérieur d'autres produits.</t>
    </r>
    <r>
      <rPr>
        <sz val="12"/>
        <color rgb="FF00B050"/>
        <rFont val="Calibri (Body)"/>
      </rPr>
      <t xml:space="preserve">
</t>
    </r>
    <r>
      <rPr>
        <sz val="12"/>
        <color theme="1"/>
        <rFont val="Calibri"/>
        <family val="2"/>
        <scheme val="minor"/>
      </rPr>
      <t xml:space="preserve">
</t>
    </r>
    <r>
      <rPr>
        <b/>
        <sz val="13"/>
        <color rgb="FFFF0000"/>
        <rFont val="Calibri (Body)"/>
      </rPr>
      <t>Vous bénéficiez également de rabais plus importants lorsque vous commandez plus d'un produit de famille différente : 20% sur le 2</t>
    </r>
    <r>
      <rPr>
        <b/>
        <vertAlign val="superscript"/>
        <sz val="13"/>
        <color rgb="FFFF0000"/>
        <rFont val="Calibri (Body)"/>
      </rPr>
      <t>e</t>
    </r>
    <r>
      <rPr>
        <b/>
        <sz val="13"/>
        <color rgb="FFFF0000"/>
        <rFont val="Calibri (Body)"/>
      </rPr>
      <t xml:space="preserve"> 40% sur le 3</t>
    </r>
    <r>
      <rPr>
        <b/>
        <vertAlign val="superscript"/>
        <sz val="13"/>
        <color rgb="FFFF0000"/>
        <rFont val="Calibri (Body)"/>
      </rPr>
      <t>e</t>
    </r>
    <r>
      <rPr>
        <b/>
        <sz val="13"/>
        <color rgb="FFFF0000"/>
        <rFont val="Calibri (Body)"/>
      </rPr>
      <t xml:space="preserve"> 60% sur le 4</t>
    </r>
    <r>
      <rPr>
        <b/>
        <vertAlign val="superscript"/>
        <sz val="13"/>
        <color rgb="FFFF0000"/>
        <rFont val="Calibri (Body)"/>
      </rPr>
      <t>e</t>
    </r>
    <r>
      <rPr>
        <b/>
        <sz val="13"/>
        <color rgb="FFFF0000"/>
        <rFont val="Calibri (Body)"/>
      </rPr>
      <t xml:space="preserve"> et plus, pour le même client, sur la même facture et le même envoi.
</t>
    </r>
    <r>
      <rPr>
        <sz val="12"/>
        <rFont val="Calibri (Body)"/>
      </rPr>
      <t>Pour réduire les frais d'expédition et d'importation, consultez l'option "Split in 2 Invoices" sur la feuille "Quote". Passez la souris sur cette option en haut au centre du devis (au-dessus de "Livraison") pour obtenir une description de sa fonction.</t>
    </r>
    <r>
      <rPr>
        <sz val="12"/>
        <color theme="1"/>
        <rFont val="Calibri"/>
        <family val="2"/>
        <scheme val="minor"/>
      </rPr>
      <t xml:space="preserve">
</t>
    </r>
    <r>
      <rPr>
        <b/>
        <i/>
        <sz val="20"/>
        <color rgb="FF1185EF"/>
        <rFont val="Calibri (Body)"/>
      </rPr>
      <t/>
    </r>
  </si>
  <si>
    <r>
      <t xml:space="preserve"> 
</t>
    </r>
    <r>
      <rPr>
        <b/>
        <i/>
        <sz val="20"/>
        <color rgb="FF1185EF"/>
        <rFont val="Calibri (Body)"/>
      </rPr>
      <t>TO GET A QUOTE</t>
    </r>
    <r>
      <rPr>
        <sz val="12"/>
        <color theme="1"/>
        <rFont val="Calibri"/>
        <family val="2"/>
        <scheme val="minor"/>
      </rPr>
      <t xml:space="preserve">
Enter your customer information below (it will be shown on the quote) and select products of interest in their respective sheet (there is one sheet per product with their name on a tab at the bottom). When done, click the </t>
    </r>
    <r>
      <rPr>
        <i/>
        <sz val="12"/>
        <color theme="1"/>
        <rFont val="Calibri"/>
        <family val="2"/>
        <scheme val="minor"/>
      </rPr>
      <t>Quote</t>
    </r>
    <r>
      <rPr>
        <sz val="12"/>
        <color theme="1"/>
        <rFont val="Calibri"/>
        <family val="2"/>
        <scheme val="minor"/>
      </rPr>
      <t>tab to view it.
If you can't buy directly from us, see our distributors on the "Dist" sheet.
You can also get prices per item (without discount) in the static price list when you click the "Static $" tabs in the lower right corner. Scroll the tabs or enlarge the sheet width if you don't see them.
To lower shipping and import fees, see our "Split in 2 Invoices" option on the "Quote" sheet. Hover the mouse over it at the top center of the quote (above Ship To) to get a description of what it does.</t>
    </r>
  </si>
  <si>
    <r>
      <t xml:space="preserve">
</t>
    </r>
    <r>
      <rPr>
        <b/>
        <i/>
        <sz val="20"/>
        <color rgb="FF1185EF"/>
        <rFont val="Calibri (Body)"/>
      </rPr>
      <t>POUR OBTENIR UNE SOUMISSION</t>
    </r>
    <r>
      <rPr>
        <sz val="12"/>
        <color theme="1"/>
        <rFont val="Calibri"/>
        <family val="2"/>
        <scheme val="minor"/>
      </rPr>
      <t xml:space="preserve">
Entrez vos informations client ci-dessous (elles seront affichées sur le devis) et sélectionnez les produits qui vous intéressent dans leur onglet respectif (il y a un onglet en bas de page pour chaque produit dans le bas). Lorsque vous avez terminé, cliquez sur l'onglet </t>
    </r>
    <r>
      <rPr>
        <i/>
        <sz val="12"/>
        <color theme="1"/>
        <rFont val="Calibri"/>
        <family val="2"/>
        <scheme val="minor"/>
      </rPr>
      <t>Quote</t>
    </r>
    <r>
      <rPr>
        <sz val="12"/>
        <color theme="1"/>
        <rFont val="Calibri"/>
        <family val="2"/>
        <scheme val="minor"/>
      </rPr>
      <t>pour l'afficher.
Si vous ne pouvez pas acheter directement auprès de nous, consultez nos distributeurs sur la feuille "Dist".
Vous pouvez également obtenir les prix par article (sans rabais) dans la liste de prix statique en cliquant sur les onglets "Static $" dans le coin inférieur droit. Faites défiler les onglets ou agrandissez la largeur de la feuille si vous ne les voyez pas.
Pour réduire les frais d'expédition et d'importation, consultez l'option "Split in 2 Invoices" sur la feuille "Quote". Passez la souris sur cette option en haut au centre du devis (au-dessus de "Livraison") pour obtenir une description de sa fonction.</t>
    </r>
  </si>
  <si>
    <t>Extra Fee (Bureaucracy)</t>
  </si>
  <si>
    <t>Complex Contract Fees</t>
  </si>
  <si>
    <t>May 31, 2025</t>
  </si>
  <si>
    <t>2025 May 31</t>
  </si>
  <si>
    <t xml:space="preserve">RegentInstr PriceList EURZ601 Euro 2025-02-10.xlsx 601          0.74          </t>
  </si>
  <si>
    <t>Static Price List</t>
  </si>
  <si>
    <t>February 10, 2025   Z601-604</t>
  </si>
  <si>
    <t>WinDENDRO™ Basic System With STD4800 Scanner</t>
  </si>
  <si>
    <t>WinDENDRO™ Basic System With LA2400 Scanner</t>
  </si>
  <si>
    <t>WinDENDRO™ Basic System With LA2400 Scanner and SLS</t>
  </si>
  <si>
    <t>WinDENDRO™ Basic System Without Scanner</t>
  </si>
  <si>
    <t>WinDENDRO™ Reg System With STD4800 Scanner</t>
  </si>
  <si>
    <t>WinDENDRO™ Reg System With LA2400 Scanner</t>
  </si>
  <si>
    <t>WinDENDRO™ Reg System With LA2400 Scanner and SLS</t>
  </si>
  <si>
    <t>WinDENDRO™ Reg System Without Scanner</t>
  </si>
  <si>
    <t>WinDENDRO™ Density System With STD4800 Scanner</t>
  </si>
  <si>
    <t>WinDENDRO™ Density System With LA2400 Scanner</t>
  </si>
  <si>
    <t>WinDENDRO™ Density System With LA2400 Scanner and SLS</t>
  </si>
  <si>
    <t>WinDENDRO™ Density System Without Scanner</t>
  </si>
  <si>
    <t>Optional Accessories</t>
  </si>
  <si>
    <t>22 cm Core Holder (for STD &amp; LA scanners)</t>
  </si>
  <si>
    <t>36 cm Core Holder (for LA scanner only)</t>
  </si>
  <si>
    <t>Core Positioner (for LA scanner only)</t>
  </si>
  <si>
    <t>Core Positioner (for STD scanner only)</t>
  </si>
  <si>
    <t>WinRHIZO™ Basic System With STD4800 Scanner</t>
  </si>
  <si>
    <t>WinRHIZO™ Basic System With LA2400 Scanner and SLS</t>
  </si>
  <si>
    <t>WinRHIZO™ Basic System Without Scanner (STD)</t>
  </si>
  <si>
    <t>WinRHIZO™ Basic System Without Scanner (LA)</t>
  </si>
  <si>
    <t>WinRHIZO™ Reg System With STD4800 Scanner</t>
  </si>
  <si>
    <t>WinRHIZO™ Reg System With LA2400 Scanner and SLS</t>
  </si>
  <si>
    <t>WinRHIZO™ Reg System Without Scanner (STD)</t>
  </si>
  <si>
    <t>WinRHIZO™ Reg System Without Scanner (LA)</t>
  </si>
  <si>
    <t>WinRHIZO™ Pro System With STD4800 Scanner</t>
  </si>
  <si>
    <t>WinRHIZO™ Pro System With LA2400 Scanner and SLS</t>
  </si>
  <si>
    <t>WinRHIZO™ Pro System Without Scanner (STD)</t>
  </si>
  <si>
    <t>WinRHIZO™ Pro System Without Scanner (LA)</t>
  </si>
  <si>
    <t>WinRHIZO™ Arabidopsis System With STD4800 Scanner</t>
  </si>
  <si>
    <t>WinRHIZO™ Arabidopsis System With LA2400 Scanner and SLS</t>
  </si>
  <si>
    <t>WinRHIZO™ Arabidopsis System Without Scanner (STD)</t>
  </si>
  <si>
    <t>WinRHIZO™ Arabidopsis System Without Scanner (LA)</t>
  </si>
  <si>
    <t>WinSEEDLE™ Basic System With STD4800 Scanner</t>
  </si>
  <si>
    <t>WinSEEDLE™ Basic System With LA2400 Scanner and SLS</t>
  </si>
  <si>
    <t>WinSEEDLE™ Basic System Without Scanner (STD)</t>
  </si>
  <si>
    <t>WinSEEDLE™ Basic System Without Scanner (LA)</t>
  </si>
  <si>
    <t>WinSEEDLE™ Reg System With STD4800 Scanner</t>
  </si>
  <si>
    <t>WinSEEDLE™ Reg System With LA2400 Scanner and SLS</t>
  </si>
  <si>
    <t>WinSEEDLE™ Reg System Without Scanner (STD)</t>
  </si>
  <si>
    <t>WinSEEDLE™ Reg System Without Scanner (LA)</t>
  </si>
  <si>
    <t>WinSEEDLE™ Pro System With STD4800 Scanner</t>
  </si>
  <si>
    <t>WinSEEDLE™ Pro System With LA2400 Scanner and SLS</t>
  </si>
  <si>
    <t>WinSEEDLE™ Pro System Without Scanner (STD)</t>
  </si>
  <si>
    <t>WinSEEDLE™ Pro System Without Scanner (LA)</t>
  </si>
  <si>
    <t>Optional Accessories for Roots &amp; Seedle scanning (WinRHIZO &amp; WinSEEDLE)</t>
  </si>
  <si>
    <t>Set of 2 Small trays                                   15x20, 20x25 cm</t>
  </si>
  <si>
    <t>Set of 3 Small trays                                   10x15, 15x20, 20x25 cm</t>
  </si>
  <si>
    <t>Individual Small tray                                10x15 cm</t>
  </si>
  <si>
    <t>Individual Small tray                                15x20 cm</t>
  </si>
  <si>
    <t>Individual Small tray                                20x25 cm</t>
  </si>
  <si>
    <t>Set of 2 Medium &amp; Large trays              25x35, 30x40 cm</t>
  </si>
  <si>
    <t>Set of 3 Medium &amp; Large trays              20x30, 25x35, 30x40 cm</t>
  </si>
  <si>
    <t>Set of 5 Small Medium Large trays      10x15, 15x20, 20x30, 25x35, 30x40 cm</t>
  </si>
  <si>
    <t>Individual Medium tray                           20x30 cm</t>
  </si>
  <si>
    <t>Individual Medium tray                           25x35 cm</t>
  </si>
  <si>
    <t>Individual Large tray                                 30x40 cm</t>
  </si>
  <si>
    <t>WinFOLIA™ Basic System With STD4800 Scanner</t>
  </si>
  <si>
    <t>WinFOLIA™ Basic System With LA2400 Scanner</t>
  </si>
  <si>
    <t>WinFOLIA™ Basic System With LA2400 Scanner and SLS</t>
  </si>
  <si>
    <t>WinFOLIA™ Basic System Without Scanner (STD)</t>
  </si>
  <si>
    <t>WinFOLIA™ Basic System Without Scanner (LA)</t>
  </si>
  <si>
    <t>WinFOLIA™ Reg System With STD4800 Scanner</t>
  </si>
  <si>
    <t>WinFOLIA™ Reg System With LA2400 Scanner</t>
  </si>
  <si>
    <t>WinFOLIA™ Reg System With LA2400 Scanner and SLS</t>
  </si>
  <si>
    <t>WinFOLIA™ Reg System Without Scanner (STD)</t>
  </si>
  <si>
    <t>WinFOLIA™ Reg System Without Scanner (LA)</t>
  </si>
  <si>
    <t>WinFOLIA™ Pro System With STD4800 Scanner</t>
  </si>
  <si>
    <t>WinFOLIA™ Pro System With LA2400 Scanner</t>
  </si>
  <si>
    <t>WinFOLIA™ Pro System With LA2400 Scanner and SLS</t>
  </si>
  <si>
    <t>WinFOLIA™ Pro System Without Scanner (STD)</t>
  </si>
  <si>
    <t>WinFOLIA™ Pro System Without Scanner (LA)</t>
  </si>
  <si>
    <t>WinFOLIA™ Basic System with LC4800P Scanner</t>
  </si>
  <si>
    <t>WinFOLIA™ Reg System with LC4800P Scanner</t>
  </si>
  <si>
    <t>WinFOLIA™ Pro System with LC4800P Scanner</t>
  </si>
  <si>
    <t>WinFOLIA™ Basic System without Scanner (LC)</t>
  </si>
  <si>
    <t>WinFOLIA™ Reg System without Scanner (LC)</t>
  </si>
  <si>
    <t>WinFOLIA™ Pro System without Scanner (LC)</t>
  </si>
  <si>
    <t>WinCAM™ NDVI Basic System With STD4800 Scanner</t>
  </si>
  <si>
    <t>WinCAM™ NDVI Basic System With LA2400 Scanner</t>
  </si>
  <si>
    <t>WinCAM™ NDVI Basic System With LA2400 Scanner and SLS</t>
  </si>
  <si>
    <t>WinCAM™ NDVI Basic System Without Scanner (STD)</t>
  </si>
  <si>
    <t>WinCAM™ NDVI Basic System Without Scanner (LA)</t>
  </si>
  <si>
    <t>WinCAM™ NDVI Reg System With STD4800 Scanner</t>
  </si>
  <si>
    <t>WinCAM™ NDVI Reg System With LA2400 Scanner</t>
  </si>
  <si>
    <t>WinCAM™ NDVI Reg System With LA2400 Scanner and SLS</t>
  </si>
  <si>
    <t>WinCAM™ NDVI Reg System Without Scanner (STD)</t>
  </si>
  <si>
    <t>WinCAM™ NDVI Reg System Without Scanner (LA)</t>
  </si>
  <si>
    <t>WinCAM™ NDVI Pro System With STD4800 Scanner</t>
  </si>
  <si>
    <t>WinCAM™ NDVI Pro System With LA2400 Scanner</t>
  </si>
  <si>
    <t>WinCAM™ NDVI Pro System With LA2400 Scanner and SLS</t>
  </si>
  <si>
    <t>WinCAM™ NDVI Pro System Without Scanner (STD)</t>
  </si>
  <si>
    <t>WinCAM™ NDVI Pro System Without Scanner (LA)</t>
  </si>
  <si>
    <t>WinCAM™ NDVI Basic System with LC4800P Scanner</t>
  </si>
  <si>
    <t>WinCAM™ NDVI Reg System with LC4800P Scanner</t>
  </si>
  <si>
    <t>WinCAM™ NDVI Pro System with LC4800P Scanner</t>
  </si>
  <si>
    <t>WinCAM™ NDVI Basic System without Scanner (LC)</t>
  </si>
  <si>
    <t>WinCAM™ NDVI Reg System without Scanner (LC)</t>
  </si>
  <si>
    <t>WinCAM™ NDVI Pro System without Scanner (LC)</t>
  </si>
  <si>
    <t>Optional Accessories for Leaves &amp; Objects scanning (WinFOLIA &amp; WinCAM)</t>
  </si>
  <si>
    <t>12" x 16" PICK* Incl. 1 White, Blue Leaf Press &amp; Calibration Targets</t>
  </si>
  <si>
    <t>18" x 24" PICK* Incl. 1 White, Blue Leaf Press &amp; Calibration Targets</t>
  </si>
  <si>
    <t>Blue Background for Color Analysis for STD Scanner</t>
  </si>
  <si>
    <t>Blue Background for Color Analysis for LA Scanner</t>
  </si>
  <si>
    <t>Blue Background for Color Analysis for LC Scanner</t>
  </si>
  <si>
    <t xml:space="preserve">WinSCANOPY™ Reg 24 MP DSLR System With Carrying Case and Self-Leveling OMount </t>
  </si>
  <si>
    <t xml:space="preserve">WinSCANOPY™ Pro 24 MP DSLR System With Carrying Case and Self-Leveling OMount </t>
  </si>
  <si>
    <t xml:space="preserve">WinSCANOPY™ Mini 24 MP Mini System Without Carrying Case and Self-Leveling OMount </t>
  </si>
  <si>
    <t xml:space="preserve">WinSCANOPY™ Reg 24 MP DSLR System Without Carrying Case and Self-Leveling OMount </t>
  </si>
  <si>
    <t xml:space="preserve">WinSCANOPY™ Pro 24 MP DSLR System Without Carrying Case and Self-Leveling OMount </t>
  </si>
  <si>
    <t>Deluxe Tripod</t>
  </si>
  <si>
    <t>WinCAM™ NDVI Basic 32&amp;64bit System with LC4800P Scanner</t>
  </si>
  <si>
    <t>WinCAM™ NDVI Reg 32&amp;64bit System with LC4800P Scanner</t>
  </si>
  <si>
    <t>WinCAM™ NDVI Pro 32&amp;64bit System with LC4800P Scanner</t>
  </si>
  <si>
    <t xml:space="preserve">WinSCANOPY™ Mini 24 MP DSLR System Without Carrying Case and Self-Leveling OMount </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</si>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</sst>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 #,##0_-;_-* &quot;-&quot;_-;_-@_-"/>
    <numFmt numFmtId="165" formatCode="_-&quot;$&quot;* #,##0.00_-;\-&quot;$&quot;* #,##0.00_-;_-&quot;$&quot;* &quot;-&quot;??_-;_-@_-"/>
    <numFmt numFmtId="166" formatCode="_-* #,##0.00_-;\-* #,##0.00_-;_-* &quot;-&quot;??_-;_-@_-"/>
    <numFmt numFmtId="167" formatCode="_-[$CAD]\ * #,##0_-;\-[$CAD]\ * #,##0_-;_-[$CAD]\ * &quot;-&quot;??_-;_-@_-"/>
    <numFmt numFmtId="168" formatCode="_-* #,##0_-;\-* #,##0_-;_-* &quot;-&quot;??_-;_-@_-"/>
    <numFmt numFmtId="169" formatCode="0\ &quot;each&quot;"/>
    <numFmt numFmtId="171" formatCode="yyyy\ mmm\ dd"/>
    <numFmt numFmtId="172" formatCode="[$-1009]mmmm\ d\,\ yyyy;@"/>
    <numFmt numFmtId="173" formatCode="#,##0.00_-"/>
    <numFmt numFmtId="174" formatCode="0&quot;*&quot;"/>
    <numFmt numFmtId="175" formatCode="0.0"/>
    <numFmt numFmtId="176" formatCode="[$-C0C]d\ mmmm\ yyyy"/>
  </numFmts>
  <fonts count="14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color rgb="FFC00000"/>
      <name val="Calibri"/>
      <family val="2"/>
      <scheme val="minor"/>
    </font>
    <font>
      <sz val="10"/>
      <color rgb="FFFF0000"/>
      <name val="Calibri"/>
      <family val="2"/>
      <scheme val="minor"/>
    </font>
    <font>
      <sz val="10"/>
      <color theme="4" tint="-0.249977111117893"/>
      <name val="Calibri"/>
      <family val="2"/>
      <scheme val="minor"/>
    </font>
    <font>
      <sz val="10"/>
      <color indexed="8"/>
      <name val="Calibri"/>
      <family val="2"/>
      <scheme val="minor"/>
    </font>
    <font>
      <sz val="1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sz val="10"/>
      <color theme="0" tint="-0.499984740745262"/>
      <name val="Calibri"/>
      <family val="2"/>
      <scheme val="minor"/>
    </font>
    <font>
      <sz val="12"/>
      <color rgb="FF0070C0"/>
      <name val="Calibri"/>
      <family val="2"/>
      <scheme val="minor"/>
    </font>
    <font>
      <sz val="12"/>
      <color theme="0" tint="-0.249977111117893"/>
      <name val="Calibri"/>
      <family val="2"/>
      <scheme val="minor"/>
    </font>
    <font>
      <sz val="10"/>
      <color theme="1"/>
      <name val="Calibri (Body)"/>
    </font>
    <font>
      <sz val="8"/>
      <name val="Calibri"/>
      <family val="2"/>
      <scheme val="minor"/>
    </font>
    <font>
      <sz val="12"/>
      <name val="Calibri"/>
      <family val="2"/>
      <scheme val="minor"/>
    </font>
    <font>
      <sz val="24"/>
      <name val="Calibri"/>
      <family val="2"/>
      <scheme val="minor"/>
    </font>
    <font>
      <b/>
      <u/>
      <sz val="12"/>
      <color theme="1"/>
      <name val="Calibri"/>
      <family val="2"/>
      <scheme val="minor"/>
    </font>
    <font>
      <sz val="11"/>
      <color rgb="FF0070C0"/>
      <name val="Calibri"/>
      <family val="2"/>
      <scheme val="minor"/>
    </font>
    <font>
      <sz val="11"/>
      <color rgb="FF00B050"/>
      <name val="Calibri"/>
      <family val="2"/>
      <scheme val="minor"/>
    </font>
    <font>
      <b/>
      <sz val="10"/>
      <color theme="1"/>
      <name val="Calibri"/>
      <family val="2"/>
      <scheme val="minor"/>
    </font>
    <font>
      <b/>
      <sz val="10"/>
      <color theme="4" tint="-0.249977111117893"/>
      <name val="Calibri"/>
      <family val="2"/>
      <scheme val="minor"/>
    </font>
    <font>
      <b/>
      <sz val="24"/>
      <color rgb="FF0070C0"/>
      <name val="Calibri"/>
      <family val="2"/>
      <scheme val="minor"/>
    </font>
    <font>
      <b/>
      <sz val="16"/>
      <color theme="4" tint="-0.249977111117893"/>
      <name val="Calibri"/>
      <family val="2"/>
      <scheme val="minor"/>
    </font>
    <font>
      <sz val="9"/>
      <color rgb="FFFF0000"/>
      <name val="Tahoma"/>
      <family val="2"/>
    </font>
    <font>
      <b/>
      <sz val="12"/>
      <color theme="4" tint="-0.249977111117893"/>
      <name val="Calibri"/>
      <family val="2"/>
      <scheme val="minor"/>
    </font>
    <font>
      <b/>
      <sz val="12"/>
      <color rgb="FFFF0000"/>
      <name val="Calibri"/>
      <family val="2"/>
      <scheme val="minor"/>
    </font>
    <font>
      <sz val="8"/>
      <color theme="1"/>
      <name val="Calibri"/>
      <family val="2"/>
      <scheme val="minor"/>
    </font>
    <font>
      <b/>
      <sz val="24"/>
      <color theme="0"/>
      <name val="Calibri"/>
      <family val="2"/>
      <scheme val="minor"/>
    </font>
    <font>
      <sz val="12"/>
      <color theme="0"/>
      <name val="Calibri"/>
      <family val="2"/>
      <scheme val="minor"/>
    </font>
    <font>
      <b/>
      <sz val="11"/>
      <color theme="4" tint="-0.249977111117893"/>
      <name val="Calibri"/>
      <family val="2"/>
      <scheme val="minor"/>
    </font>
    <font>
      <u/>
      <sz val="12"/>
      <color theme="10"/>
      <name val="Calibri"/>
      <family val="2"/>
      <scheme val="minor"/>
    </font>
    <font>
      <u/>
      <sz val="12"/>
      <color rgb="FF0070C0"/>
      <name val="Calibri"/>
      <family val="2"/>
      <scheme val="minor"/>
    </font>
    <font>
      <sz val="7"/>
      <color theme="1"/>
      <name val="Calibri"/>
      <family val="2"/>
      <scheme val="minor"/>
    </font>
    <font>
      <b/>
      <sz val="9"/>
      <color theme="1"/>
      <name val="Calibri"/>
      <family val="2"/>
      <scheme val="minor"/>
    </font>
    <font>
      <sz val="9"/>
      <color theme="1"/>
      <name val="Calibri"/>
      <family val="2"/>
      <scheme val="minor"/>
    </font>
    <font>
      <b/>
      <sz val="16"/>
      <color rgb="FF0C897A"/>
      <name val="Arial"/>
      <family val="2"/>
    </font>
    <font>
      <b/>
      <sz val="8"/>
      <color theme="1"/>
      <name val="Calibri"/>
      <family val="2"/>
      <scheme val="minor"/>
    </font>
    <font>
      <sz val="9"/>
      <name val="Calibri"/>
      <family val="2"/>
      <scheme val="minor"/>
    </font>
    <font>
      <b/>
      <sz val="11"/>
      <color theme="1"/>
      <name val="Calibri"/>
      <family val="2"/>
      <scheme val="minor"/>
    </font>
    <font>
      <sz val="7.5"/>
      <color theme="1"/>
      <name val="Calibri"/>
      <family val="2"/>
      <scheme val="minor"/>
    </font>
    <font>
      <b/>
      <sz val="16"/>
      <name val="Calibri"/>
      <family val="2"/>
      <scheme val="minor"/>
    </font>
    <font>
      <b/>
      <sz val="16"/>
      <color rgb="FF1185EF"/>
      <name val="Arial"/>
      <family val="2"/>
    </font>
    <font>
      <b/>
      <sz val="14"/>
      <color rgb="FF1185EF"/>
      <name val="Calibri"/>
      <family val="2"/>
      <scheme val="minor"/>
    </font>
    <font>
      <b/>
      <sz val="14"/>
      <color rgb="FF1185EF"/>
      <name val="Arial"/>
      <family val="2"/>
    </font>
    <font>
      <sz val="11.5"/>
      <color theme="1"/>
      <name val="Calibri"/>
      <family val="2"/>
      <scheme val="minor"/>
    </font>
    <font>
      <sz val="7"/>
      <color theme="1" tint="0.499984740745262"/>
      <name val="Calibri"/>
      <family val="2"/>
      <scheme val="minor"/>
    </font>
    <font>
      <i/>
      <sz val="20"/>
      <color theme="1"/>
      <name val="Calibri"/>
      <family val="2"/>
      <scheme val="minor"/>
    </font>
    <font>
      <sz val="12"/>
      <color rgb="FF00B050"/>
      <name val="Calibri (Body)"/>
    </font>
    <font>
      <b/>
      <sz val="18"/>
      <color theme="0"/>
      <name val="Calibri"/>
      <family val="2"/>
      <scheme val="minor"/>
    </font>
    <font>
      <b/>
      <sz val="18"/>
      <name val="Calibri"/>
      <family val="2"/>
      <scheme val="minor"/>
    </font>
    <font>
      <b/>
      <sz val="14"/>
      <name val="Calibri"/>
      <family val="2"/>
      <scheme val="minor"/>
    </font>
    <font>
      <b/>
      <sz val="24"/>
      <name val="Calibri"/>
      <family val="2"/>
      <scheme val="minor"/>
    </font>
    <font>
      <b/>
      <sz val="13"/>
      <name val="Calibri"/>
      <family val="2"/>
      <scheme val="minor"/>
    </font>
    <font>
      <sz val="10"/>
      <color theme="0"/>
      <name val="Calibri"/>
      <family val="2"/>
      <scheme val="minor"/>
    </font>
    <font>
      <sz val="16"/>
      <color theme="0"/>
      <name val="Calibri"/>
      <family val="2"/>
      <scheme val="minor"/>
    </font>
    <font>
      <sz val="14"/>
      <name val="Calibri"/>
      <family val="2"/>
      <scheme val="minor"/>
    </font>
    <font>
      <sz val="14"/>
      <name val="Calibri Light"/>
      <family val="2"/>
      <scheme val="major"/>
    </font>
    <font>
      <b/>
      <i/>
      <sz val="12"/>
      <color rgb="FFC00000"/>
      <name val="Calibri"/>
      <family val="2"/>
      <scheme val="minor"/>
    </font>
    <font>
      <sz val="9"/>
      <color indexed="81"/>
      <name val="Tahoma"/>
      <family val="2"/>
    </font>
    <font>
      <b/>
      <sz val="9"/>
      <color indexed="81"/>
      <name val="Tahoma"/>
      <family val="2"/>
    </font>
    <font>
      <sz val="72"/>
      <color theme="1"/>
      <name val="Calibri"/>
      <family val="2"/>
      <scheme val="minor"/>
    </font>
    <font>
      <sz val="11"/>
      <name val="Calibri"/>
      <family val="2"/>
      <scheme val="minor"/>
    </font>
    <font>
      <b/>
      <sz val="12"/>
      <name val="Calibri"/>
      <family val="2"/>
      <scheme val="minor"/>
    </font>
    <font>
      <b/>
      <sz val="15"/>
      <name val="Calibri"/>
      <family val="2"/>
      <scheme val="minor"/>
    </font>
    <font>
      <i/>
      <sz val="12"/>
      <name val="Calibri"/>
      <family val="2"/>
      <scheme val="minor"/>
    </font>
    <font>
      <sz val="7.5"/>
      <color theme="0" tint="-0.249977111117893"/>
      <name val="Calibri"/>
      <family val="2"/>
      <scheme val="minor"/>
    </font>
    <font>
      <sz val="7.5"/>
      <color theme="0" tint="-0.34998626667073579"/>
      <name val="Calibri"/>
      <family val="2"/>
      <scheme val="minor"/>
    </font>
    <font>
      <sz val="7"/>
      <color theme="0" tint="-0.34998626667073579"/>
      <name val="Calibri"/>
      <family val="2"/>
      <scheme val="minor"/>
    </font>
    <font>
      <sz val="7"/>
      <name val="Calibri"/>
      <family val="2"/>
      <scheme val="minor"/>
    </font>
    <font>
      <sz val="12"/>
      <color rgb="FF000000"/>
      <name val="Calibri"/>
      <family val="2"/>
    </font>
    <font>
      <sz val="11"/>
      <color rgb="FF000000"/>
      <name val="Calibri"/>
      <family val="2"/>
    </font>
    <font>
      <sz val="10"/>
      <color theme="0" tint="-0.249977111117893"/>
      <name val="Calibri"/>
      <family val="2"/>
      <scheme val="minor"/>
    </font>
    <font>
      <b/>
      <sz val="24"/>
      <color theme="0" tint="-4.9989318521683403E-2"/>
      <name val="Calibri"/>
      <family val="2"/>
      <scheme val="minor"/>
    </font>
    <font>
      <b/>
      <i/>
      <sz val="11.5"/>
      <color rgb="FFC00000"/>
      <name val="Calibri"/>
      <family val="2"/>
      <scheme val="minor"/>
    </font>
    <font>
      <i/>
      <sz val="11.5"/>
      <color rgb="FFC00000"/>
      <name val="Calibri"/>
      <family val="2"/>
      <scheme val="minor"/>
    </font>
    <font>
      <i/>
      <sz val="12"/>
      <color rgb="FFC00000"/>
      <name val="Calibri"/>
      <family val="2"/>
      <scheme val="minor"/>
    </font>
    <font>
      <i/>
      <sz val="11"/>
      <color rgb="FFC00000"/>
      <name val="Calibri"/>
      <family val="2"/>
      <scheme val="minor"/>
    </font>
    <font>
      <b/>
      <sz val="14"/>
      <color theme="1"/>
      <name val="Calibri"/>
      <family val="2"/>
      <scheme val="minor"/>
    </font>
    <font>
      <sz val="10.5"/>
      <color theme="1"/>
      <name val="Calibri"/>
      <family val="2"/>
      <scheme val="minor"/>
    </font>
    <font>
      <sz val="14"/>
      <color theme="1"/>
      <name val="Calibri"/>
      <family val="2"/>
      <scheme val="minor"/>
    </font>
    <font>
      <b/>
      <i/>
      <sz val="11"/>
      <color theme="1"/>
      <name val="Calibri"/>
      <family val="2"/>
      <scheme val="minor"/>
    </font>
    <font>
      <b/>
      <sz val="28"/>
      <color theme="1"/>
      <name val="Calibri"/>
      <family val="2"/>
      <scheme val="minor"/>
    </font>
    <font>
      <b/>
      <sz val="16"/>
      <color rgb="FFFF0000"/>
      <name val="Calibri"/>
      <family val="2"/>
      <scheme val="minor"/>
    </font>
    <font>
      <b/>
      <u/>
      <sz val="10"/>
      <name val="Calibri"/>
      <family val="2"/>
      <scheme val="minor"/>
    </font>
    <font>
      <b/>
      <u/>
      <sz val="12"/>
      <name val="Calibri"/>
      <family val="2"/>
      <scheme val="minor"/>
    </font>
    <font>
      <sz val="11"/>
      <color theme="1"/>
      <name val="Calibri (Body)"/>
    </font>
    <font>
      <b/>
      <sz val="10"/>
      <color rgb="FF0070C0"/>
      <name val="Calibri"/>
      <family val="2"/>
      <scheme val="minor"/>
    </font>
    <font>
      <b/>
      <sz val="13"/>
      <color rgb="FF00B050"/>
      <name val="Calibri (Body)"/>
    </font>
    <font>
      <sz val="13"/>
      <color rgb="FF00B050"/>
      <name val="Calibri (Body)"/>
    </font>
    <font>
      <b/>
      <sz val="13"/>
      <color rgb="FFC00000"/>
      <name val="Calibri (Body)"/>
    </font>
    <font>
      <b/>
      <vertAlign val="superscript"/>
      <sz val="13"/>
      <color rgb="FF00B050"/>
      <name val="Calibri (Body)"/>
    </font>
    <font>
      <b/>
      <sz val="13"/>
      <color rgb="FFFF0000"/>
      <name val="Calibri (Body)"/>
    </font>
    <font>
      <b/>
      <vertAlign val="superscript"/>
      <sz val="13"/>
      <color rgb="FFFF0000"/>
      <name val="Calibri (Body)"/>
    </font>
    <font>
      <b/>
      <vertAlign val="superscript"/>
      <sz val="13"/>
      <color rgb="FFC00000"/>
      <name val="Calibri (Body)"/>
    </font>
    <font>
      <b/>
      <i/>
      <sz val="20"/>
      <color rgb="FF1185EF"/>
      <name val="Calibri (Body)"/>
    </font>
    <font>
      <b/>
      <sz val="11"/>
      <color rgb="FFC00000"/>
      <name val="Calibri"/>
      <family val="2"/>
      <scheme val="minor"/>
    </font>
    <font>
      <sz val="12"/>
      <color rgb="FF00B050"/>
      <name val="Calibri"/>
      <family val="2"/>
      <scheme val="minor"/>
    </font>
    <font>
      <b/>
      <sz val="9"/>
      <name val="Calibri"/>
      <family val="2"/>
      <scheme val="minor"/>
    </font>
    <font>
      <b/>
      <sz val="11"/>
      <name val="Calibri"/>
      <family val="2"/>
      <scheme val="minor"/>
    </font>
    <font>
      <sz val="12"/>
      <color theme="7" tint="-0.499984740745262"/>
      <name val="Calibri"/>
      <family val="2"/>
      <scheme val="minor"/>
    </font>
    <font>
      <b/>
      <sz val="12"/>
      <color theme="9"/>
      <name val="Calibri (Body)"/>
    </font>
    <font>
      <b/>
      <sz val="12"/>
      <color theme="7" tint="-0.499984740745262"/>
      <name val="Calibri"/>
      <family val="2"/>
      <scheme val="minor"/>
    </font>
    <font>
      <sz val="12"/>
      <color theme="1"/>
      <name val="Calibri (Body)"/>
    </font>
    <font>
      <sz val="12"/>
      <color rgb="FF0070C0"/>
      <name val="Calibri (Body)"/>
    </font>
    <font>
      <sz val="15"/>
      <name val="Calibri"/>
      <family val="2"/>
      <scheme val="minor"/>
    </font>
    <font>
      <sz val="12"/>
      <color theme="1"/>
      <name val="Calibri"/>
      <family val="2"/>
    </font>
    <font>
      <sz val="12"/>
      <color rgb="FF0070C0"/>
      <name val="Calibri"/>
      <family val="2"/>
    </font>
    <font>
      <sz val="6"/>
      <color theme="1"/>
      <name val="Calibri"/>
      <family val="2"/>
      <scheme val="minor"/>
    </font>
    <font>
      <i/>
      <sz val="12"/>
      <color theme="1"/>
      <name val="Calibri"/>
      <family val="2"/>
      <scheme val="minor"/>
    </font>
    <font>
      <u/>
      <sz val="9"/>
      <color indexed="81"/>
      <name val="Tahoma"/>
      <family val="2"/>
    </font>
    <font>
      <sz val="9"/>
      <color indexed="39"/>
      <name val="Tahoma"/>
      <family val="2"/>
    </font>
    <font>
      <i/>
      <sz val="9"/>
      <color indexed="39"/>
      <name val="Tahoma"/>
      <family val="2"/>
    </font>
    <font>
      <b/>
      <sz val="9"/>
      <color indexed="39"/>
      <name val="Tahoma"/>
      <family val="2"/>
    </font>
    <font>
      <i/>
      <sz val="10"/>
      <color rgb="FFC00000"/>
      <name val="Calibri"/>
      <family val="2"/>
      <scheme val="minor"/>
    </font>
    <font>
      <b/>
      <sz val="16"/>
      <color theme="1"/>
      <name val="Calibri"/>
      <family val="2"/>
      <scheme val="minor"/>
    </font>
    <font>
      <sz val="9"/>
      <color rgb="FF000000"/>
      <name val="Tahoma"/>
      <family val="2"/>
    </font>
    <font>
      <sz val="10"/>
      <color rgb="FF0070C0"/>
      <name val="Calibri"/>
      <family val="2"/>
      <scheme val="minor"/>
    </font>
    <font>
      <b/>
      <sz val="11"/>
      <color rgb="FF0070C0"/>
      <name val="Calibri (Body)"/>
    </font>
    <font>
      <b/>
      <sz val="8.5"/>
      <name val="Calibri"/>
      <family val="2"/>
      <scheme val="minor"/>
    </font>
    <font>
      <sz val="11"/>
      <color rgb="FF00B050"/>
      <name val="Calibri (Body)"/>
    </font>
    <font>
      <sz val="12"/>
      <color theme="2" tint="-0.249977111117893"/>
      <name val="Calibri"/>
      <family val="2"/>
      <scheme val="minor"/>
    </font>
    <font>
      <u/>
      <sz val="10"/>
      <name val="Calibri"/>
      <family val="2"/>
      <scheme val="minor"/>
    </font>
    <font>
      <sz val="12"/>
      <name val="Calibri (Body)"/>
    </font>
    <font>
      <sz val="8.5"/>
      <color theme="1"/>
      <name val="Calibri"/>
      <family val="2"/>
      <scheme val="minor"/>
    </font>
    <font>
      <b/>
      <sz val="16"/>
      <color indexed="10"/>
      <name val="Calibri"/>
      <family val="2"/>
      <scheme val="minor"/>
    </font>
    <font>
      <i/>
      <sz val="10"/>
      <color theme="1"/>
      <name val="Calibri"/>
      <family val="2"/>
      <scheme val="minor"/>
    </font>
    <font>
      <b/>
      <sz val="12"/>
      <color rgb="FFC00000"/>
      <name val="Calibri"/>
      <family val="2"/>
      <scheme val="minor"/>
    </font>
    <font>
      <sz val="12"/>
      <color theme="3"/>
      <name val="Calibri"/>
      <family val="2"/>
      <scheme val="minor"/>
    </font>
    <font>
      <sz val="8"/>
      <color rgb="FF000000"/>
      <name val="Segoe UI"/>
      <charset val="1"/>
    </font>
    <font>
      <b/>
      <sz val="9"/>
      <color rgb="FF0000FF"/>
      <name val="Tahoma"/>
      <family val="2"/>
    </font>
  </fonts>
  <fills count="4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2C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DCAEFF"/>
        <bgColor indexed="64"/>
      </patternFill>
    </fill>
    <fill>
      <patternFill patternType="solid">
        <fgColor rgb="FFE5C19D"/>
        <bgColor indexed="64"/>
      </patternFill>
    </fill>
    <fill>
      <patternFill patternType="solid">
        <fgColor rgb="FFAEDCC3"/>
        <bgColor indexed="64"/>
      </patternFill>
    </fill>
    <fill>
      <patternFill patternType="solid">
        <fgColor rgb="FFFFDFAA"/>
        <bgColor indexed="64"/>
      </patternFill>
    </fill>
    <fill>
      <patternFill patternType="solid">
        <fgColor rgb="FFD5E9FC"/>
        <bgColor indexed="64"/>
      </patternFill>
    </fill>
    <fill>
      <patternFill patternType="solid">
        <fgColor rgb="FFFFF9BA"/>
        <bgColor indexed="64"/>
      </patternFill>
    </fill>
    <fill>
      <patternFill patternType="solid">
        <fgColor rgb="FFEAEF8D"/>
        <bgColor indexed="64"/>
      </patternFill>
    </fill>
    <fill>
      <patternFill patternType="solid">
        <fgColor theme="0"/>
        <bgColor indexed="64"/>
      </patternFill>
    </fill>
    <fill>
      <patternFill patternType="solid">
        <fgColor rgb="FFB4D9FA"/>
        <bgColor indexed="64"/>
      </patternFill>
    </fill>
    <fill>
      <patternFill patternType="solid">
        <fgColor rgb="FFDBEDFD"/>
        <bgColor indexed="64"/>
      </patternFill>
    </fill>
    <fill>
      <patternFill patternType="solid">
        <fgColor rgb="FFF2F2F2"/>
        <bgColor indexed="64"/>
      </patternFill>
    </fill>
    <fill>
      <patternFill patternType="solid">
        <fgColor theme="4" tint="-0.499984740745262"/>
        <bgColor indexed="64"/>
      </patternFill>
    </fill>
    <fill>
      <patternFill patternType="solid">
        <fgColor theme="9" tint="-0.249977111117893"/>
        <bgColor theme="9" tint="-0.249977111117893"/>
      </patternFill>
    </fill>
    <fill>
      <patternFill patternType="solid">
        <fgColor theme="9"/>
        <bgColor theme="9"/>
      </patternFill>
    </fill>
    <fill>
      <patternFill patternType="solid">
        <fgColor rgb="FFC00000"/>
        <bgColor indexed="64"/>
      </patternFill>
    </fill>
    <fill>
      <patternFill patternType="solid">
        <fgColor theme="7"/>
        <bgColor indexed="64"/>
      </patternFill>
    </fill>
    <fill>
      <patternFill patternType="solid">
        <fgColor rgb="FF00B050"/>
        <bgColor indexed="64"/>
      </patternFill>
    </fill>
    <fill>
      <patternFill patternType="solid">
        <fgColor theme="9"/>
        <bgColor indexed="64"/>
      </patternFill>
    </fill>
    <fill>
      <patternFill patternType="solid">
        <fgColor theme="1" tint="0.34998626667073579"/>
        <bgColor indexed="64"/>
      </patternFill>
    </fill>
    <fill>
      <patternFill patternType="solid">
        <fgColor rgb="FF00206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FFFFC8"/>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bgColor indexed="64"/>
      </patternFill>
    </fill>
    <fill>
      <patternFill patternType="solid">
        <fgColor theme="7" tint="0.399975585192419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DD9CA"/>
      </left>
      <right/>
      <top/>
      <bottom/>
      <diagonal/>
    </border>
    <border>
      <left/>
      <right style="thin">
        <color rgb="FF1185EF"/>
      </right>
      <top style="thin">
        <color rgb="FF1185EF"/>
      </top>
      <bottom/>
      <diagonal/>
    </border>
    <border>
      <left/>
      <right style="thin">
        <color rgb="FF1185EF"/>
      </right>
      <top/>
      <bottom/>
      <diagonal/>
    </border>
    <border>
      <left/>
      <right style="thin">
        <color rgb="FF1185EF"/>
      </right>
      <top/>
      <bottom style="thin">
        <color rgb="FF1185EF"/>
      </bottom>
      <diagonal/>
    </border>
    <border>
      <left style="thin">
        <color rgb="FF1185EF"/>
      </left>
      <right style="thin">
        <color rgb="FF1185EF"/>
      </right>
      <top style="thin">
        <color rgb="FF1185EF"/>
      </top>
      <bottom/>
      <diagonal/>
    </border>
    <border>
      <left style="thin">
        <color rgb="FF1185EF"/>
      </left>
      <right style="thin">
        <color rgb="FF1185EF"/>
      </right>
      <top/>
      <bottom/>
      <diagonal/>
    </border>
    <border>
      <left style="thin">
        <color rgb="FF1185EF"/>
      </left>
      <right style="thin">
        <color rgb="FF1185EF"/>
      </right>
      <top/>
      <bottom style="thin">
        <color rgb="FF1185EF"/>
      </bottom>
      <diagonal/>
    </border>
    <border>
      <left style="thin">
        <color rgb="FF1185EF"/>
      </left>
      <right/>
      <top style="thin">
        <color rgb="FF1185EF"/>
      </top>
      <bottom/>
      <diagonal/>
    </border>
    <border>
      <left style="thin">
        <color rgb="FF1185EF"/>
      </left>
      <right/>
      <top/>
      <bottom/>
      <diagonal/>
    </border>
    <border>
      <left style="thin">
        <color rgb="FF1185EF"/>
      </left>
      <right/>
      <top/>
      <bottom style="thin">
        <color rgb="FF1185EF"/>
      </bottom>
      <diagonal/>
    </border>
    <border>
      <left/>
      <right/>
      <top style="thin">
        <color rgb="FF1185EF"/>
      </top>
      <bottom/>
      <diagonal/>
    </border>
    <border>
      <left/>
      <right/>
      <top/>
      <bottom style="thin">
        <color rgb="FF1185EF"/>
      </bottom>
      <diagonal/>
    </border>
    <border>
      <left style="thin">
        <color rgb="FFB4D9FA"/>
      </left>
      <right/>
      <top/>
      <bottom style="thin">
        <color rgb="FF1185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17600024414813E-2"/>
      </left>
      <right/>
      <top style="thin">
        <color theme="2" tint="-9.9917600024414813E-2"/>
      </top>
      <bottom/>
      <diagonal/>
    </border>
    <border>
      <left/>
      <right/>
      <top style="thin">
        <color theme="2" tint="-9.9917600024414813E-2"/>
      </top>
      <bottom/>
      <diagonal/>
    </border>
    <border>
      <left/>
      <right style="thin">
        <color theme="2" tint="-9.9917600024414813E-2"/>
      </right>
      <top style="thin">
        <color theme="2" tint="-9.9917600024414813E-2"/>
      </top>
      <bottom/>
      <diagonal/>
    </border>
    <border>
      <left style="thin">
        <color theme="2" tint="-9.9917600024414813E-2"/>
      </left>
      <right/>
      <top/>
      <bottom/>
      <diagonal/>
    </border>
    <border>
      <left/>
      <right style="thin">
        <color theme="2" tint="-9.9917600024414813E-2"/>
      </right>
      <top/>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style="thin">
        <color theme="2" tint="-9.9978637043366805E-2"/>
      </left>
      <right style="thin">
        <color theme="2" tint="-9.9978637043366805E-2"/>
      </right>
      <top style="thin">
        <color theme="2" tint="-9.9978637043366805E-2"/>
      </top>
      <bottom style="thin">
        <color theme="2" tint="-9.9917600024414813E-2"/>
      </bottom>
      <diagonal/>
    </border>
    <border>
      <left/>
      <right style="thin">
        <color theme="2" tint="-9.9917600024414813E-2"/>
      </right>
      <top/>
      <bottom style="thin">
        <color theme="2" tint="-9.9917600024414813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top style="thin">
        <color theme="0" tint="-0.14999847407452621"/>
      </top>
      <bottom/>
      <diagonal/>
    </border>
    <border>
      <left/>
      <right/>
      <top/>
      <bottom style="thin">
        <color theme="0" tint="-0.14999847407452621"/>
      </bottom>
      <diagonal/>
    </border>
    <border>
      <left style="thin">
        <color rgb="FFB4D9FA"/>
      </left>
      <right/>
      <top/>
      <bottom/>
      <diagonal/>
    </border>
    <border>
      <left/>
      <right style="dotted">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ck">
        <color indexed="64"/>
      </top>
      <bottom/>
      <diagonal/>
    </border>
    <border>
      <left style="thin">
        <color theme="0" tint="-0.34998626667073579"/>
      </left>
      <right style="thin">
        <color theme="0" tint="-0.34998626667073579"/>
      </right>
      <top style="thin">
        <color theme="0" tint="-0.34998626667073579"/>
      </top>
      <bottom style="thick">
        <color auto="1"/>
      </bottom>
      <diagonal/>
    </border>
    <border>
      <left style="thin">
        <color theme="0" tint="-0.34998626667073579"/>
      </left>
      <right/>
      <top style="thin">
        <color theme="0" tint="-0.34998626667073579"/>
      </top>
      <bottom style="thick">
        <color auto="1"/>
      </bottom>
      <diagonal/>
    </border>
    <border>
      <left/>
      <right style="thin">
        <color theme="0" tint="-0.34998626667073579"/>
      </right>
      <top style="thin">
        <color theme="0" tint="-0.34998626667073579"/>
      </top>
      <bottom style="thick">
        <color auto="1"/>
      </bottom>
      <diagonal/>
    </border>
    <border>
      <left/>
      <right/>
      <top style="thin">
        <color theme="0" tint="-0.34998626667073579"/>
      </top>
      <bottom style="thick">
        <color auto="1"/>
      </bottom>
      <diagonal/>
    </border>
    <border>
      <left style="thin">
        <color theme="0" tint="-0.14999847407452621"/>
      </left>
      <right/>
      <top style="thin">
        <color theme="2" tint="-9.9917600024414813E-2"/>
      </top>
      <bottom style="thin">
        <color theme="0" tint="-0.14999847407452621"/>
      </bottom>
      <diagonal/>
    </border>
    <border>
      <left style="thin">
        <color theme="0" tint="-0.14999847407452621"/>
      </left>
      <right style="thin">
        <color theme="2" tint="-9.9978637043366805E-2"/>
      </right>
      <top style="thin">
        <color theme="2" tint="-9.9917600024414813E-2"/>
      </top>
      <bottom style="thin">
        <color theme="0" tint="-0.14999847407452621"/>
      </bottom>
      <diagonal/>
    </border>
    <border>
      <left/>
      <right style="thin">
        <color theme="0" tint="-0.14996795556505021"/>
      </right>
      <top/>
      <bottom/>
      <diagonal/>
    </border>
    <border>
      <left style="thin">
        <color theme="2" tint="-9.9978637043366805E-2"/>
      </left>
      <right style="thin">
        <color theme="2" tint="-9.9978637043366805E-2"/>
      </right>
      <top/>
      <bottom/>
      <diagonal/>
    </border>
  </borders>
  <cellStyleXfs count="7">
    <xf numFmtId="0" fontId="0" fillId="0" borderId="0"/>
    <xf numFmtId="165"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cellStyleXfs>
  <cellXfs count="854">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top" wrapText="1"/>
    </xf>
    <xf numFmtId="0" fontId="11" fillId="0" borderId="0" xfId="0" applyFont="1" applyAlignment="1">
      <alignment horizontal="center"/>
    </xf>
    <xf numFmtId="0" fontId="11" fillId="0" borderId="0" xfId="0" applyFont="1" applyAlignment="1">
      <alignment vertical="center" wrapText="1"/>
    </xf>
    <xf numFmtId="0" fontId="19" fillId="0" borderId="0" xfId="0" applyFont="1" applyAlignment="1">
      <alignment vertical="top" wrapText="1"/>
    </xf>
    <xf numFmtId="0" fontId="11" fillId="3" borderId="0" xfId="0" applyFont="1" applyFill="1" applyAlignment="1">
      <alignment vertical="center"/>
    </xf>
    <xf numFmtId="0" fontId="11" fillId="3" borderId="0" xfId="0" applyFont="1" applyFill="1" applyAlignment="1">
      <alignment horizontal="left" vertical="center" wrapText="1"/>
    </xf>
    <xf numFmtId="0" fontId="11" fillId="0" borderId="0" xfId="0" applyFont="1"/>
    <xf numFmtId="0" fontId="22" fillId="0" borderId="0" xfId="0" applyFont="1" applyAlignment="1">
      <alignment vertical="center"/>
    </xf>
    <xf numFmtId="0" fontId="11" fillId="0" borderId="0" xfId="0" applyFont="1" applyAlignment="1">
      <alignment horizontal="left"/>
    </xf>
    <xf numFmtId="0" fontId="17" fillId="0" borderId="0" xfId="0" applyFont="1"/>
    <xf numFmtId="0" fontId="20" fillId="0" borderId="0" xfId="0" applyFont="1" applyAlignment="1">
      <alignment horizontal="center" vertical="center"/>
    </xf>
    <xf numFmtId="0" fontId="13" fillId="0" borderId="0" xfId="0" applyFont="1" applyAlignment="1">
      <alignment vertical="center"/>
    </xf>
    <xf numFmtId="0" fontId="0" fillId="0" borderId="0" xfId="0" applyAlignment="1">
      <alignment horizontal="center"/>
    </xf>
    <xf numFmtId="0" fontId="11" fillId="0" borderId="0" xfId="0" applyFont="1" applyAlignment="1">
      <alignment horizontal="left" vertical="center"/>
    </xf>
    <xf numFmtId="0" fontId="26" fillId="0" borderId="0" xfId="0" applyFont="1" applyAlignment="1" applyProtection="1">
      <alignment vertical="center"/>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0" fillId="0" borderId="0" xfId="0" applyProtection="1">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16" fillId="0" borderId="0" xfId="0" applyFont="1" applyProtection="1">
      <protection locked="0"/>
    </xf>
    <xf numFmtId="0" fontId="16" fillId="0" borderId="0" xfId="0" applyFont="1" applyAlignment="1" applyProtection="1">
      <alignment vertical="center"/>
      <protection locked="0"/>
    </xf>
    <xf numFmtId="0" fontId="25" fillId="5" borderId="0" xfId="0" applyFont="1" applyFill="1" applyAlignment="1" applyProtection="1">
      <alignment vertical="center"/>
      <protection locked="0"/>
    </xf>
    <xf numFmtId="0" fontId="32" fillId="0" borderId="0" xfId="0" applyFont="1" applyAlignment="1">
      <alignment horizontal="center" vertical="center"/>
    </xf>
    <xf numFmtId="0" fontId="16" fillId="5" borderId="0" xfId="0" applyFont="1" applyFill="1" applyAlignment="1">
      <alignment horizontal="center" vertical="center"/>
    </xf>
    <xf numFmtId="0" fontId="25" fillId="5" borderId="0" xfId="0" applyFont="1" applyFill="1" applyAlignment="1">
      <alignment horizontal="center" vertical="center"/>
    </xf>
    <xf numFmtId="0" fontId="16" fillId="0" borderId="0" xfId="0" applyFont="1" applyAlignment="1">
      <alignment horizontal="center"/>
    </xf>
    <xf numFmtId="0" fontId="25" fillId="0" borderId="0" xfId="0" applyFont="1" applyAlignment="1">
      <alignment horizontal="center" vertical="center"/>
    </xf>
    <xf numFmtId="0" fontId="16" fillId="0" borderId="0" xfId="0" applyFont="1" applyAlignment="1">
      <alignment horizontal="center" vertical="center"/>
    </xf>
    <xf numFmtId="10" fontId="0" fillId="0" borderId="0" xfId="2" applyNumberFormat="1" applyFont="1" applyAlignment="1" applyProtection="1">
      <alignment horizontal="center"/>
    </xf>
    <xf numFmtId="0" fontId="39" fillId="0" borderId="0" xfId="0" applyFont="1" applyAlignment="1" applyProtection="1">
      <alignment vertical="center"/>
      <protection locked="0"/>
    </xf>
    <xf numFmtId="0" fontId="27" fillId="0" borderId="0" xfId="0" applyFont="1"/>
    <xf numFmtId="0" fontId="16" fillId="0" borderId="0" xfId="0" applyFont="1" applyAlignment="1" applyProtection="1">
      <alignment horizontal="left" vertical="center"/>
      <protection locked="0"/>
    </xf>
    <xf numFmtId="0" fontId="14"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34" fillId="0" borderId="0" xfId="0" applyFont="1" applyAlignment="1">
      <alignment horizontal="left"/>
    </xf>
    <xf numFmtId="0" fontId="43" fillId="0" borderId="0" xfId="0" applyFont="1"/>
    <xf numFmtId="0" fontId="37" fillId="0" borderId="0" xfId="0" applyFont="1"/>
    <xf numFmtId="0" fontId="46" fillId="0" borderId="0" xfId="0" applyFont="1"/>
    <xf numFmtId="0" fontId="43" fillId="0" borderId="0" xfId="0" applyFont="1" applyAlignment="1">
      <alignment vertical="top" wrapText="1"/>
    </xf>
    <xf numFmtId="0" fontId="47" fillId="0" borderId="0" xfId="0" applyFont="1" applyAlignment="1">
      <alignment wrapText="1"/>
    </xf>
    <xf numFmtId="0" fontId="50" fillId="0" borderId="0" xfId="0" applyFont="1" applyAlignment="1">
      <alignment vertical="top" wrapText="1"/>
    </xf>
    <xf numFmtId="0" fontId="37" fillId="0" borderId="0" xfId="0" applyFont="1" applyAlignment="1">
      <alignment wrapText="1"/>
    </xf>
    <xf numFmtId="0" fontId="30" fillId="0" borderId="0" xfId="0" applyFont="1" applyAlignment="1">
      <alignment vertical="center"/>
    </xf>
    <xf numFmtId="0" fontId="45" fillId="0" borderId="0" xfId="0" applyFont="1" applyAlignment="1">
      <alignment vertical="center"/>
    </xf>
    <xf numFmtId="0" fontId="48" fillId="0" borderId="0" xfId="4" applyFont="1" applyBorder="1" applyAlignment="1">
      <alignment vertical="center"/>
    </xf>
    <xf numFmtId="0" fontId="43" fillId="0" borderId="0" xfId="0" applyFont="1" applyAlignment="1">
      <alignment vertical="center"/>
    </xf>
    <xf numFmtId="0" fontId="45" fillId="0" borderId="0" xfId="0" applyFont="1"/>
    <xf numFmtId="0" fontId="8" fillId="0" borderId="0" xfId="0" applyFont="1" applyAlignment="1">
      <alignment vertical="top"/>
    </xf>
    <xf numFmtId="0" fontId="49" fillId="0" borderId="0" xfId="0" applyFont="1" applyAlignment="1">
      <alignment vertical="top"/>
    </xf>
    <xf numFmtId="0" fontId="38" fillId="0" borderId="0" xfId="0" applyFont="1" applyAlignment="1">
      <alignment horizontal="right" vertical="center"/>
    </xf>
    <xf numFmtId="0" fontId="39" fillId="0" borderId="0" xfId="0" applyFont="1"/>
    <xf numFmtId="0" fontId="8" fillId="0" borderId="0" xfId="0" applyFont="1" applyAlignment="1">
      <alignment vertical="center"/>
    </xf>
    <xf numFmtId="0" fontId="27" fillId="0" borderId="0" xfId="0" applyFont="1" applyAlignment="1">
      <alignment wrapText="1"/>
    </xf>
    <xf numFmtId="0" fontId="25" fillId="12" borderId="0" xfId="0" applyFont="1" applyFill="1" applyProtection="1">
      <protection locked="0"/>
    </xf>
    <xf numFmtId="0" fontId="16" fillId="12" borderId="0" xfId="0" applyFont="1" applyFill="1" applyAlignment="1" applyProtection="1">
      <alignment horizontal="center"/>
      <protection locked="0"/>
    </xf>
    <xf numFmtId="0" fontId="16" fillId="12" borderId="0" xfId="0" applyFont="1" applyFill="1" applyAlignment="1" applyProtection="1">
      <alignment vertical="center"/>
      <protection locked="0"/>
    </xf>
    <xf numFmtId="0" fontId="0" fillId="12" borderId="0" xfId="0" applyFill="1" applyProtection="1">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16" fillId="12" borderId="0" xfId="0" applyFont="1" applyFill="1" applyAlignment="1" applyProtection="1">
      <alignment horizontal="center" vertical="center"/>
      <protection locked="0"/>
    </xf>
    <xf numFmtId="0" fontId="7" fillId="0" borderId="0" xfId="0" applyFont="1" applyAlignment="1">
      <alignment horizontal="left"/>
    </xf>
    <xf numFmtId="0" fontId="39" fillId="0" borderId="0" xfId="0" applyFont="1" applyAlignment="1">
      <alignment horizontal="left"/>
    </xf>
    <xf numFmtId="0" fontId="37" fillId="0" borderId="0" xfId="0" applyFont="1" applyAlignment="1">
      <alignment horizontal="center" vertical="center"/>
    </xf>
    <xf numFmtId="0" fontId="37" fillId="21" borderId="0" xfId="0" applyFont="1" applyFill="1" applyAlignment="1">
      <alignment horizontal="center" vertical="center" wrapText="1"/>
    </xf>
    <xf numFmtId="0" fontId="45" fillId="21" borderId="0" xfId="0" applyFont="1" applyFill="1" applyAlignment="1">
      <alignment horizontal="center" vertical="center"/>
    </xf>
    <xf numFmtId="0" fontId="45" fillId="21" borderId="0" xfId="0" applyFont="1" applyFill="1" applyAlignment="1">
      <alignment horizontal="center" vertical="center" wrapText="1"/>
    </xf>
    <xf numFmtId="0" fontId="37" fillId="21" borderId="0" xfId="0" applyFont="1" applyFill="1" applyAlignment="1">
      <alignment vertical="center"/>
    </xf>
    <xf numFmtId="0" fontId="37" fillId="21" borderId="0" xfId="0" applyFont="1" applyFill="1"/>
    <xf numFmtId="0" fontId="43" fillId="21" borderId="0" xfId="0" applyFont="1" applyFill="1"/>
    <xf numFmtId="0" fontId="43" fillId="21" borderId="0" xfId="0" applyFont="1" applyFill="1" applyAlignment="1">
      <alignment vertical="center"/>
    </xf>
    <xf numFmtId="0" fontId="52" fillId="0" borderId="0" xfId="0" applyFont="1" applyAlignment="1">
      <alignment horizontal="right"/>
    </xf>
    <xf numFmtId="0" fontId="37" fillId="0" borderId="14" xfId="0" applyFont="1" applyBorder="1" applyAlignment="1">
      <alignment horizontal="center" vertical="center"/>
    </xf>
    <xf numFmtId="0" fontId="43" fillId="0" borderId="16" xfId="0" applyFont="1" applyBorder="1"/>
    <xf numFmtId="0" fontId="43" fillId="0" borderId="17" xfId="0" applyFont="1" applyBorder="1"/>
    <xf numFmtId="0" fontId="43" fillId="0" borderId="18" xfId="0" applyFont="1" applyBorder="1"/>
    <xf numFmtId="0" fontId="43" fillId="0" borderId="20" xfId="0" applyFont="1" applyBorder="1"/>
    <xf numFmtId="166" fontId="43" fillId="0" borderId="15" xfId="0" applyNumberFormat="1" applyFont="1" applyBorder="1" applyAlignment="1">
      <alignment shrinkToFit="1"/>
    </xf>
    <xf numFmtId="0" fontId="45" fillId="0" borderId="17" xfId="0" applyFont="1" applyBorder="1" applyAlignment="1">
      <alignment vertical="top"/>
    </xf>
    <xf numFmtId="0" fontId="45" fillId="21" borderId="21" xfId="0" applyFont="1" applyFill="1" applyBorder="1"/>
    <xf numFmtId="0" fontId="8" fillId="0" borderId="16" xfId="0" applyFont="1" applyBorder="1" applyAlignment="1">
      <alignment vertical="top"/>
    </xf>
    <xf numFmtId="0" fontId="43" fillId="0" borderId="19" xfId="0" applyFont="1" applyBorder="1"/>
    <xf numFmtId="166" fontId="11" fillId="0" borderId="10" xfId="0" applyNumberFormat="1" applyFont="1" applyBorder="1" applyAlignment="1">
      <alignment horizontal="right" vertical="top" indent="1" shrinkToFit="1"/>
    </xf>
    <xf numFmtId="166" fontId="11" fillId="0" borderId="11" xfId="0" applyNumberFormat="1" applyFont="1" applyBorder="1" applyAlignment="1">
      <alignment horizontal="right" vertical="top" indent="1" shrinkToFit="1"/>
    </xf>
    <xf numFmtId="0" fontId="45" fillId="0" borderId="17" xfId="0" applyFont="1" applyBorder="1" applyAlignment="1">
      <alignment vertical="center"/>
    </xf>
    <xf numFmtId="166" fontId="11" fillId="0" borderId="11" xfId="0" applyNumberFormat="1" applyFont="1" applyBorder="1" applyAlignment="1">
      <alignment horizontal="right" vertical="center" shrinkToFit="1"/>
    </xf>
    <xf numFmtId="0" fontId="49" fillId="0" borderId="17" xfId="0" applyFont="1" applyBorder="1" applyAlignment="1">
      <alignment vertical="top"/>
    </xf>
    <xf numFmtId="166" fontId="19" fillId="0" borderId="11" xfId="0" applyNumberFormat="1" applyFont="1" applyBorder="1" applyAlignment="1">
      <alignment horizontal="right" vertical="top" indent="1" shrinkToFit="1"/>
    </xf>
    <xf numFmtId="0" fontId="11" fillId="0" borderId="12" xfId="0" applyFont="1" applyBorder="1" applyAlignment="1">
      <alignment horizontal="right"/>
    </xf>
    <xf numFmtId="0" fontId="6" fillId="0" borderId="0" xfId="0" applyFont="1" applyAlignment="1">
      <alignment horizontal="left"/>
    </xf>
    <xf numFmtId="0" fontId="8" fillId="0" borderId="19" xfId="0" applyFont="1" applyBorder="1" applyAlignment="1">
      <alignment vertical="top"/>
    </xf>
    <xf numFmtId="166" fontId="11" fillId="0" borderId="19" xfId="0" applyNumberFormat="1" applyFont="1" applyBorder="1" applyAlignment="1">
      <alignment horizontal="right" vertical="top" indent="1" shrinkToFit="1"/>
    </xf>
    <xf numFmtId="0" fontId="11" fillId="0" borderId="0" xfId="0" applyFont="1" applyAlignment="1">
      <alignment horizontal="right"/>
    </xf>
    <xf numFmtId="0" fontId="53" fillId="0" borderId="0" xfId="0" applyFont="1" applyAlignment="1">
      <alignment horizontal="center" vertical="center"/>
    </xf>
    <xf numFmtId="0" fontId="0" fillId="21" borderId="22" xfId="0" applyFill="1" applyBorder="1" applyAlignment="1">
      <alignment horizontal="left"/>
    </xf>
    <xf numFmtId="0" fontId="0" fillId="21" borderId="23" xfId="0" applyFill="1" applyBorder="1" applyAlignment="1">
      <alignment horizontal="left"/>
    </xf>
    <xf numFmtId="0" fontId="0" fillId="21" borderId="25" xfId="0" applyFill="1" applyBorder="1" applyAlignment="1">
      <alignment horizontal="left"/>
    </xf>
    <xf numFmtId="0" fontId="0" fillId="21" borderId="25" xfId="0" applyFill="1" applyBorder="1" applyAlignment="1">
      <alignment horizontal="left" vertical="center"/>
    </xf>
    <xf numFmtId="0" fontId="0" fillId="22" borderId="0" xfId="0" applyFill="1"/>
    <xf numFmtId="0" fontId="0" fillId="21" borderId="0" xfId="0" applyFill="1" applyAlignment="1">
      <alignment horizontal="left"/>
    </xf>
    <xf numFmtId="49" fontId="0" fillId="22" borderId="0" xfId="0" applyNumberFormat="1" applyFill="1"/>
    <xf numFmtId="0" fontId="0" fillId="21" borderId="27" xfId="0" applyFill="1" applyBorder="1" applyAlignment="1">
      <alignment horizontal="left"/>
    </xf>
    <xf numFmtId="0" fontId="0" fillId="22" borderId="28" xfId="0" applyFill="1" applyBorder="1"/>
    <xf numFmtId="0" fontId="0" fillId="21" borderId="23" xfId="0" applyFill="1" applyBorder="1"/>
    <xf numFmtId="0" fontId="0" fillId="21" borderId="24" xfId="0" applyFill="1" applyBorder="1"/>
    <xf numFmtId="0" fontId="0" fillId="22" borderId="26" xfId="0" applyFill="1" applyBorder="1"/>
    <xf numFmtId="0" fontId="0" fillId="22" borderId="29" xfId="0" applyFill="1" applyBorder="1"/>
    <xf numFmtId="0" fontId="0" fillId="0" borderId="0" xfId="0" applyAlignment="1">
      <alignment horizontal="left"/>
    </xf>
    <xf numFmtId="0" fontId="50" fillId="0" borderId="0" xfId="0" applyFont="1" applyAlignment="1">
      <alignment vertical="top"/>
    </xf>
    <xf numFmtId="0" fontId="43" fillId="0" borderId="0" xfId="0" applyFont="1" applyAlignment="1">
      <alignment vertical="top"/>
    </xf>
    <xf numFmtId="0" fontId="43" fillId="0" borderId="20" xfId="0" applyFont="1" applyBorder="1" applyAlignment="1">
      <alignment horizontal="center" vertical="center" shrinkToFit="1"/>
    </xf>
    <xf numFmtId="0" fontId="43" fillId="0" borderId="20" xfId="0" applyFont="1" applyBorder="1" applyAlignment="1">
      <alignment shrinkToFit="1"/>
    </xf>
    <xf numFmtId="0" fontId="43" fillId="0" borderId="0" xfId="0" applyFont="1" applyAlignment="1">
      <alignment vertical="center" shrinkToFit="1"/>
    </xf>
    <xf numFmtId="0" fontId="9" fillId="0" borderId="0" xfId="0" applyFont="1" applyAlignment="1">
      <alignment vertical="center" shrinkToFit="1"/>
    </xf>
    <xf numFmtId="0" fontId="10" fillId="0" borderId="0" xfId="0" applyFont="1" applyAlignment="1">
      <alignment vertical="center" shrinkToFit="1"/>
    </xf>
    <xf numFmtId="0" fontId="45" fillId="0" borderId="0" xfId="0" applyFont="1" applyAlignment="1">
      <alignment shrinkToFit="1"/>
    </xf>
    <xf numFmtId="0" fontId="37" fillId="0" borderId="17" xfId="0" applyFont="1" applyBorder="1" applyAlignment="1">
      <alignment horizontal="center" vertical="center"/>
    </xf>
    <xf numFmtId="0" fontId="37" fillId="0" borderId="17" xfId="0" applyFont="1" applyBorder="1" applyAlignment="1">
      <alignment horizontal="center" vertical="center" shrinkToFit="1"/>
    </xf>
    <xf numFmtId="0" fontId="55" fillId="21" borderId="0" xfId="0" applyFont="1" applyFill="1" applyAlignment="1">
      <alignment horizontal="left"/>
    </xf>
    <xf numFmtId="0" fontId="43" fillId="0" borderId="0" xfId="0" applyFont="1" applyAlignment="1">
      <alignment shrinkToFit="1"/>
    </xf>
    <xf numFmtId="0" fontId="0" fillId="22" borderId="0" xfId="0" applyFill="1" applyAlignment="1" applyProtection="1">
      <alignment shrinkToFit="1"/>
      <protection locked="0"/>
    </xf>
    <xf numFmtId="0" fontId="0" fillId="22" borderId="0" xfId="0" applyFill="1" applyAlignment="1" applyProtection="1">
      <alignment horizontal="left" shrinkToFit="1"/>
      <protection locked="0"/>
    </xf>
    <xf numFmtId="0" fontId="56" fillId="0" borderId="0" xfId="0" applyFont="1" applyAlignment="1">
      <alignment shrinkToFit="1"/>
    </xf>
    <xf numFmtId="0" fontId="38" fillId="0" borderId="0" xfId="0" applyFont="1" applyAlignment="1">
      <alignment horizontal="left" vertical="center"/>
    </xf>
    <xf numFmtId="0" fontId="0" fillId="0" borderId="0" xfId="0" applyAlignment="1">
      <alignment shrinkToFit="1"/>
    </xf>
    <xf numFmtId="0" fontId="33" fillId="17" borderId="0" xfId="0" applyFont="1" applyFill="1" applyAlignment="1">
      <alignment vertical="center"/>
    </xf>
    <xf numFmtId="0" fontId="14" fillId="17" borderId="0" xfId="0" applyFont="1" applyFill="1" applyAlignment="1">
      <alignment vertical="center"/>
    </xf>
    <xf numFmtId="0" fontId="11" fillId="17" borderId="0" xfId="0" applyFont="1" applyFill="1" applyAlignment="1">
      <alignment vertical="center"/>
    </xf>
    <xf numFmtId="167" fontId="11" fillId="17" borderId="0" xfId="1" applyNumberFormat="1" applyFont="1" applyFill="1" applyBorder="1" applyAlignment="1">
      <alignment vertical="center"/>
    </xf>
    <xf numFmtId="168" fontId="11" fillId="0" borderId="0" xfId="0" applyNumberFormat="1" applyFont="1" applyAlignment="1">
      <alignment vertical="center"/>
    </xf>
    <xf numFmtId="0" fontId="35" fillId="0" borderId="0" xfId="0" applyFont="1" applyAlignment="1">
      <alignment horizontal="center" vertical="center"/>
    </xf>
    <xf numFmtId="168" fontId="11" fillId="0" borderId="0" xfId="0" applyNumberFormat="1" applyFont="1" applyAlignment="1">
      <alignment vertical="center" wrapText="1"/>
    </xf>
    <xf numFmtId="167" fontId="16" fillId="17" borderId="0" xfId="1" applyNumberFormat="1" applyFont="1" applyFill="1" applyBorder="1" applyAlignment="1">
      <alignment horizontal="right" vertical="center"/>
    </xf>
    <xf numFmtId="0" fontId="31" fillId="0" borderId="0" xfId="0" applyFont="1" applyAlignment="1">
      <alignment vertical="center"/>
    </xf>
    <xf numFmtId="0" fontId="14" fillId="0" borderId="0" xfId="0" applyFont="1" applyAlignment="1">
      <alignment vertical="center"/>
    </xf>
    <xf numFmtId="0" fontId="31" fillId="0" borderId="0" xfId="0" applyFont="1" applyAlignment="1">
      <alignment horizontal="right" vertical="center"/>
    </xf>
    <xf numFmtId="164" fontId="11" fillId="0" borderId="0" xfId="0" applyNumberFormat="1" applyFont="1" applyAlignment="1">
      <alignment vertical="center"/>
    </xf>
    <xf numFmtId="0" fontId="33" fillId="17" borderId="0" xfId="0" applyFont="1" applyFill="1" applyAlignment="1">
      <alignment horizontal="center" vertical="center"/>
    </xf>
    <xf numFmtId="0" fontId="11" fillId="4" borderId="0" xfId="0" applyFont="1" applyFill="1" applyAlignment="1">
      <alignment horizontal="right" vertical="center"/>
    </xf>
    <xf numFmtId="167" fontId="11" fillId="4" borderId="0" xfId="1" applyNumberFormat="1" applyFont="1" applyFill="1" applyBorder="1" applyAlignment="1">
      <alignment vertical="center"/>
    </xf>
    <xf numFmtId="0" fontId="38" fillId="24" borderId="33" xfId="0" applyFont="1" applyFill="1" applyBorder="1" applyAlignment="1">
      <alignment horizontal="left" vertical="center"/>
    </xf>
    <xf numFmtId="0" fontId="59" fillId="24" borderId="34" xfId="0" applyFont="1" applyFill="1" applyBorder="1" applyAlignment="1">
      <alignment horizontal="left" vertical="center"/>
    </xf>
    <xf numFmtId="0" fontId="64" fillId="24" borderId="34" xfId="0" applyFont="1" applyFill="1" applyBorder="1" applyAlignment="1">
      <alignment horizontal="center" vertical="center"/>
    </xf>
    <xf numFmtId="0" fontId="64" fillId="24" borderId="34" xfId="0" applyFont="1" applyFill="1" applyBorder="1" applyAlignment="1">
      <alignment vertical="center"/>
    </xf>
    <xf numFmtId="167" fontId="65" fillId="24" borderId="34" xfId="1" applyNumberFormat="1" applyFont="1" applyFill="1" applyBorder="1" applyAlignment="1">
      <alignment horizontal="right" vertical="center"/>
    </xf>
    <xf numFmtId="167" fontId="65" fillId="24" borderId="34" xfId="1" applyNumberFormat="1" applyFont="1" applyFill="1" applyBorder="1" applyAlignment="1">
      <alignment vertical="center" shrinkToFit="1"/>
    </xf>
    <xf numFmtId="0" fontId="64" fillId="24" borderId="35" xfId="0" applyFont="1" applyFill="1" applyBorder="1" applyAlignment="1">
      <alignment vertical="center"/>
    </xf>
    <xf numFmtId="0" fontId="39" fillId="0" borderId="36" xfId="0" applyFont="1" applyBorder="1" applyAlignment="1">
      <alignment vertical="top" wrapText="1"/>
    </xf>
    <xf numFmtId="0" fontId="11" fillId="17" borderId="37" xfId="0" applyFont="1" applyFill="1" applyBorder="1" applyAlignment="1">
      <alignment horizontal="center" vertical="center"/>
    </xf>
    <xf numFmtId="0" fontId="11" fillId="0" borderId="37" xfId="0" applyFont="1" applyBorder="1" applyAlignment="1">
      <alignment vertical="center"/>
    </xf>
    <xf numFmtId="0" fontId="12" fillId="0" borderId="36" xfId="0" applyFont="1" applyBorder="1" applyAlignment="1">
      <alignment vertical="center"/>
    </xf>
    <xf numFmtId="0" fontId="0" fillId="0" borderId="36" xfId="0" applyBorder="1"/>
    <xf numFmtId="168" fontId="11" fillId="0" borderId="38" xfId="0" applyNumberFormat="1" applyFont="1" applyBorder="1" applyAlignment="1">
      <alignment vertical="center"/>
    </xf>
    <xf numFmtId="0" fontId="11" fillId="0" borderId="38" xfId="0" applyFont="1" applyBorder="1" applyAlignment="1">
      <alignment vertical="center"/>
    </xf>
    <xf numFmtId="0" fontId="38" fillId="24" borderId="39" xfId="0" applyFont="1" applyFill="1" applyBorder="1" applyAlignment="1">
      <alignment horizontal="left" vertical="center"/>
    </xf>
    <xf numFmtId="0" fontId="59" fillId="24" borderId="40" xfId="0" applyFont="1" applyFill="1" applyBorder="1" applyAlignment="1">
      <alignment horizontal="left" vertical="center"/>
    </xf>
    <xf numFmtId="0" fontId="64" fillId="24" borderId="40" xfId="0" applyFont="1" applyFill="1" applyBorder="1" applyAlignment="1">
      <alignment vertical="center"/>
    </xf>
    <xf numFmtId="167" fontId="65" fillId="24" borderId="40" xfId="1" applyNumberFormat="1" applyFont="1" applyFill="1" applyBorder="1" applyAlignment="1">
      <alignment horizontal="right" vertical="center"/>
    </xf>
    <xf numFmtId="167" fontId="65" fillId="24" borderId="40" xfId="1" applyNumberFormat="1" applyFont="1" applyFill="1" applyBorder="1" applyAlignment="1">
      <alignment vertical="center" shrinkToFit="1"/>
    </xf>
    <xf numFmtId="0" fontId="39" fillId="24" borderId="41" xfId="0" applyFont="1" applyFill="1" applyBorder="1"/>
    <xf numFmtId="0" fontId="11" fillId="17" borderId="43" xfId="0" applyFont="1" applyFill="1" applyBorder="1" applyAlignment="1">
      <alignment horizontal="center" vertical="center"/>
    </xf>
    <xf numFmtId="0" fontId="14" fillId="0" borderId="42" xfId="0" applyFont="1" applyBorder="1" applyAlignment="1">
      <alignment vertical="center"/>
    </xf>
    <xf numFmtId="0" fontId="0" fillId="0" borderId="43" xfId="0" applyBorder="1" applyAlignment="1">
      <alignment horizontal="right"/>
    </xf>
    <xf numFmtId="0" fontId="0" fillId="0" borderId="43" xfId="0" applyBorder="1"/>
    <xf numFmtId="0" fontId="11" fillId="0" borderId="43" xfId="0" applyFont="1" applyBorder="1"/>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168" fontId="11" fillId="0" borderId="46" xfId="0" applyNumberFormat="1"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38" fillId="24" borderId="48" xfId="0" applyFont="1" applyFill="1" applyBorder="1" applyAlignment="1">
      <alignment horizontal="left" vertical="center"/>
    </xf>
    <xf numFmtId="0" fontId="59" fillId="24" borderId="49" xfId="0" applyFont="1" applyFill="1" applyBorder="1" applyAlignment="1">
      <alignment horizontal="left" vertical="center"/>
    </xf>
    <xf numFmtId="0" fontId="64" fillId="24" borderId="49" xfId="0" applyFont="1" applyFill="1" applyBorder="1" applyAlignment="1">
      <alignment horizontal="center" vertical="center"/>
    </xf>
    <xf numFmtId="0" fontId="64" fillId="24" borderId="49" xfId="0" applyFont="1" applyFill="1" applyBorder="1" applyAlignment="1">
      <alignment vertical="center"/>
    </xf>
    <xf numFmtId="167" fontId="65" fillId="24" borderId="49" xfId="1" applyNumberFormat="1" applyFont="1" applyFill="1" applyBorder="1" applyAlignment="1">
      <alignment horizontal="right" vertical="center"/>
    </xf>
    <xf numFmtId="167" fontId="65" fillId="24" borderId="49" xfId="1" applyNumberFormat="1" applyFont="1" applyFill="1" applyBorder="1" applyAlignment="1">
      <alignment vertical="center" shrinkToFit="1"/>
    </xf>
    <xf numFmtId="0" fontId="64" fillId="24" borderId="50" xfId="0" applyFont="1" applyFill="1" applyBorder="1" applyAlignment="1">
      <alignment vertical="center"/>
    </xf>
    <xf numFmtId="0" fontId="39" fillId="0" borderId="51" xfId="0" applyFont="1" applyBorder="1" applyAlignment="1">
      <alignment vertical="top" wrapText="1"/>
    </xf>
    <xf numFmtId="0" fontId="33" fillId="6" borderId="0" xfId="0" applyFont="1" applyFill="1" applyAlignment="1">
      <alignment vertical="center"/>
    </xf>
    <xf numFmtId="0" fontId="14" fillId="6" borderId="0" xfId="0" applyFont="1" applyFill="1" applyAlignment="1">
      <alignment vertical="center"/>
    </xf>
    <xf numFmtId="167" fontId="11" fillId="6" borderId="0" xfId="1" applyNumberFormat="1" applyFont="1" applyFill="1" applyBorder="1" applyAlignment="1">
      <alignment vertical="center"/>
    </xf>
    <xf numFmtId="0" fontId="11" fillId="6" borderId="52" xfId="0" applyFont="1" applyFill="1" applyBorder="1" applyAlignment="1">
      <alignment horizontal="center" vertical="center"/>
    </xf>
    <xf numFmtId="0" fontId="11" fillId="0" borderId="52" xfId="0" applyFont="1" applyBorder="1" applyAlignment="1">
      <alignment vertical="center"/>
    </xf>
    <xf numFmtId="0" fontId="12" fillId="0" borderId="51" xfId="0" applyFont="1" applyBorder="1" applyAlignment="1">
      <alignment vertical="center"/>
    </xf>
    <xf numFmtId="168" fontId="11" fillId="0" borderId="0" xfId="0" applyNumberFormat="1" applyFont="1" applyAlignment="1">
      <alignment horizontal="center" vertical="center" wrapText="1"/>
    </xf>
    <xf numFmtId="0" fontId="0" fillId="0" borderId="51" xfId="0" applyBorder="1"/>
    <xf numFmtId="0" fontId="35" fillId="0" borderId="0" xfId="0" applyFont="1" applyAlignment="1">
      <alignment horizontal="left" vertical="center"/>
    </xf>
    <xf numFmtId="0" fontId="0" fillId="0" borderId="52" xfId="0" applyBorder="1"/>
    <xf numFmtId="0" fontId="11" fillId="0" borderId="51" xfId="0" applyFont="1" applyBorder="1" applyAlignment="1">
      <alignment vertical="center"/>
    </xf>
    <xf numFmtId="0" fontId="0" fillId="0" borderId="53" xfId="0" applyBorder="1"/>
    <xf numFmtId="0" fontId="0" fillId="0" borderId="54" xfId="0" applyBorder="1"/>
    <xf numFmtId="0" fontId="11" fillId="0" borderId="54" xfId="0" applyFont="1" applyBorder="1" applyAlignment="1">
      <alignment vertical="center"/>
    </xf>
    <xf numFmtId="0" fontId="0" fillId="0" borderId="55" xfId="0" applyBorder="1"/>
    <xf numFmtId="0" fontId="33" fillId="18" borderId="0" xfId="0" applyFont="1" applyFill="1" applyAlignment="1">
      <alignment vertical="center"/>
    </xf>
    <xf numFmtId="0" fontId="14" fillId="18" borderId="0" xfId="0" applyFont="1" applyFill="1" applyAlignment="1">
      <alignment vertical="center"/>
    </xf>
    <xf numFmtId="0" fontId="11" fillId="18" borderId="0" xfId="0" applyFont="1" applyFill="1" applyAlignment="1">
      <alignment vertical="center"/>
    </xf>
    <xf numFmtId="167" fontId="11" fillId="18" borderId="0" xfId="1" applyNumberFormat="1" applyFont="1" applyFill="1" applyBorder="1" applyAlignment="1">
      <alignment vertical="center"/>
    </xf>
    <xf numFmtId="0" fontId="11" fillId="18" borderId="52" xfId="0" applyFont="1" applyFill="1" applyBorder="1" applyAlignment="1">
      <alignment horizontal="center" vertical="center"/>
    </xf>
    <xf numFmtId="0" fontId="39" fillId="24" borderId="50" xfId="0" applyFont="1" applyFill="1" applyBorder="1"/>
    <xf numFmtId="167" fontId="16" fillId="18" borderId="0" xfId="1" applyNumberFormat="1" applyFont="1" applyFill="1" applyBorder="1" applyAlignment="1">
      <alignment horizontal="right" vertical="center"/>
    </xf>
    <xf numFmtId="0" fontId="14" fillId="0" borderId="51" xfId="0" applyFont="1" applyBorder="1" applyAlignment="1">
      <alignment vertical="center"/>
    </xf>
    <xf numFmtId="0" fontId="0" fillId="0" borderId="52" xfId="0" applyBorder="1" applyAlignment="1">
      <alignment horizontal="right"/>
    </xf>
    <xf numFmtId="165" fontId="11" fillId="0" borderId="0" xfId="0" applyNumberFormat="1" applyFont="1" applyAlignment="1">
      <alignment vertical="center"/>
    </xf>
    <xf numFmtId="0" fontId="20" fillId="0" borderId="52" xfId="0" applyFont="1" applyBorder="1" applyAlignment="1">
      <alignment horizontal="center" vertical="center"/>
    </xf>
    <xf numFmtId="0" fontId="33" fillId="18" borderId="0" xfId="0" applyFont="1" applyFill="1" applyAlignment="1">
      <alignment horizontal="left" vertical="center"/>
    </xf>
    <xf numFmtId="0" fontId="11" fillId="18" borderId="0" xfId="0" applyFont="1" applyFill="1" applyAlignment="1">
      <alignment horizontal="right" vertical="center"/>
    </xf>
    <xf numFmtId="0" fontId="16" fillId="18" borderId="52" xfId="0" applyFont="1" applyFill="1" applyBorder="1" applyAlignment="1">
      <alignment horizontal="center" vertical="center"/>
    </xf>
    <xf numFmtId="0" fontId="11" fillId="0" borderId="53" xfId="0" applyFont="1" applyBorder="1" applyAlignment="1">
      <alignment vertical="center"/>
    </xf>
    <xf numFmtId="0" fontId="11" fillId="0" borderId="55" xfId="0" applyFont="1" applyBorder="1" applyAlignment="1">
      <alignment vertical="center"/>
    </xf>
    <xf numFmtId="0" fontId="33" fillId="14" borderId="0" xfId="0" applyFont="1" applyFill="1" applyAlignment="1">
      <alignment vertical="center"/>
    </xf>
    <xf numFmtId="0" fontId="14" fillId="14" borderId="0" xfId="0" applyFont="1" applyFill="1" applyAlignment="1">
      <alignment vertical="center"/>
    </xf>
    <xf numFmtId="0" fontId="11" fillId="14" borderId="0" xfId="0" applyFont="1" applyFill="1" applyAlignment="1">
      <alignment vertical="center"/>
    </xf>
    <xf numFmtId="167" fontId="11" fillId="14" borderId="0" xfId="1" applyNumberFormat="1" applyFont="1" applyFill="1" applyBorder="1" applyAlignment="1">
      <alignment vertical="center"/>
    </xf>
    <xf numFmtId="0" fontId="11" fillId="14" borderId="52" xfId="0" applyFont="1" applyFill="1" applyBorder="1" applyAlignment="1">
      <alignment horizontal="center" vertical="center"/>
    </xf>
    <xf numFmtId="0" fontId="40" fillId="0" borderId="0" xfId="0" applyFont="1" applyAlignment="1">
      <alignment horizontal="center" vertical="center"/>
    </xf>
    <xf numFmtId="0" fontId="33" fillId="15" borderId="0" xfId="0" applyFont="1" applyFill="1" applyAlignment="1">
      <alignment vertical="center"/>
    </xf>
    <xf numFmtId="0" fontId="14" fillId="15" borderId="0" xfId="0" applyFont="1" applyFill="1" applyAlignment="1">
      <alignment vertical="center"/>
    </xf>
    <xf numFmtId="0" fontId="11" fillId="15" borderId="0" xfId="0" applyFont="1" applyFill="1" applyAlignment="1">
      <alignment vertical="center"/>
    </xf>
    <xf numFmtId="167" fontId="11" fillId="15" borderId="0" xfId="1" applyNumberFormat="1" applyFont="1" applyFill="1" applyBorder="1" applyAlignment="1">
      <alignment vertical="center"/>
    </xf>
    <xf numFmtId="0" fontId="11" fillId="15" borderId="52" xfId="0" applyFont="1" applyFill="1" applyBorder="1" applyAlignment="1">
      <alignment horizontal="center" vertical="center"/>
    </xf>
    <xf numFmtId="167" fontId="16" fillId="15" borderId="0" xfId="1" applyNumberFormat="1" applyFont="1" applyFill="1" applyBorder="1" applyAlignment="1">
      <alignment horizontal="right" vertical="center"/>
    </xf>
    <xf numFmtId="0" fontId="33" fillId="15" borderId="0" xfId="0" applyFont="1" applyFill="1" applyAlignment="1">
      <alignment horizontal="left" vertical="center"/>
    </xf>
    <xf numFmtId="0" fontId="11" fillId="15" borderId="0" xfId="0" applyFont="1" applyFill="1" applyAlignment="1">
      <alignment horizontal="right" vertical="center"/>
    </xf>
    <xf numFmtId="0" fontId="13" fillId="15" borderId="52" xfId="0" applyFont="1" applyFill="1" applyBorder="1" applyAlignment="1">
      <alignment vertical="center"/>
    </xf>
    <xf numFmtId="0" fontId="16" fillId="0" borderId="54" xfId="0" applyFont="1" applyBorder="1" applyAlignment="1">
      <alignment vertical="center"/>
    </xf>
    <xf numFmtId="169" fontId="11" fillId="0" borderId="54" xfId="0" applyNumberFormat="1" applyFont="1" applyBorder="1" applyAlignment="1">
      <alignment vertical="center"/>
    </xf>
    <xf numFmtId="0" fontId="33" fillId="19" borderId="0" xfId="0" applyFont="1" applyFill="1" applyAlignment="1">
      <alignment vertical="center"/>
    </xf>
    <xf numFmtId="0" fontId="14" fillId="19" borderId="0" xfId="0" applyFont="1" applyFill="1" applyAlignment="1">
      <alignment vertical="center"/>
    </xf>
    <xf numFmtId="0" fontId="11" fillId="19" borderId="0" xfId="0" applyFont="1" applyFill="1" applyAlignment="1">
      <alignment vertical="center"/>
    </xf>
    <xf numFmtId="167" fontId="11" fillId="19" borderId="0" xfId="1" applyNumberFormat="1" applyFont="1" applyFill="1" applyBorder="1" applyAlignment="1">
      <alignment vertical="center"/>
    </xf>
    <xf numFmtId="0" fontId="11" fillId="19" borderId="52" xfId="0" applyFont="1" applyFill="1" applyBorder="1" applyAlignment="1">
      <alignment horizontal="center" vertical="center"/>
    </xf>
    <xf numFmtId="167" fontId="16" fillId="19" borderId="0" xfId="1" applyNumberFormat="1" applyFont="1" applyFill="1" applyBorder="1" applyAlignment="1">
      <alignment horizontal="right" vertical="center"/>
    </xf>
    <xf numFmtId="0" fontId="33" fillId="19" borderId="0" xfId="0" applyFont="1" applyFill="1" applyAlignment="1">
      <alignment horizontal="left" vertical="center"/>
    </xf>
    <xf numFmtId="0" fontId="11" fillId="19" borderId="0" xfId="0" applyFont="1" applyFill="1" applyAlignment="1">
      <alignment horizontal="right" vertical="center"/>
    </xf>
    <xf numFmtId="0" fontId="33" fillId="16" borderId="0" xfId="0" applyFont="1" applyFill="1" applyAlignment="1">
      <alignment vertical="center"/>
    </xf>
    <xf numFmtId="0" fontId="14" fillId="16" borderId="0" xfId="0" applyFont="1" applyFill="1" applyAlignment="1">
      <alignment vertical="center"/>
    </xf>
    <xf numFmtId="0" fontId="11" fillId="16" borderId="0" xfId="0" applyFont="1" applyFill="1" applyAlignment="1">
      <alignment vertical="center"/>
    </xf>
    <xf numFmtId="167" fontId="11" fillId="16" borderId="0" xfId="1" applyNumberFormat="1" applyFont="1" applyFill="1" applyBorder="1" applyAlignment="1">
      <alignment vertical="center"/>
    </xf>
    <xf numFmtId="0" fontId="11" fillId="16" borderId="52" xfId="0" applyFont="1" applyFill="1" applyBorder="1" applyAlignment="1">
      <alignment horizontal="center" vertical="center"/>
    </xf>
    <xf numFmtId="0" fontId="42" fillId="0" borderId="0" xfId="0" applyFont="1" applyAlignment="1">
      <alignment horizontal="center" vertical="center" wrapText="1"/>
    </xf>
    <xf numFmtId="167" fontId="16" fillId="16" borderId="0" xfId="1" applyNumberFormat="1" applyFont="1" applyFill="1" applyBorder="1" applyAlignment="1">
      <alignment horizontal="right" vertical="center"/>
    </xf>
    <xf numFmtId="0" fontId="33" fillId="16" borderId="0" xfId="0" applyFont="1" applyFill="1" applyAlignment="1">
      <alignment horizontal="left" vertical="center"/>
    </xf>
    <xf numFmtId="0" fontId="11" fillId="16" borderId="0" xfId="0" applyFont="1" applyFill="1" applyAlignment="1">
      <alignment horizontal="right" vertical="center"/>
    </xf>
    <xf numFmtId="0" fontId="13" fillId="16" borderId="52" xfId="0" applyFont="1" applyFill="1" applyBorder="1" applyAlignment="1">
      <alignment vertical="center"/>
    </xf>
    <xf numFmtId="0" fontId="33" fillId="13" borderId="0" xfId="0" applyFont="1" applyFill="1" applyAlignment="1">
      <alignment vertical="center"/>
    </xf>
    <xf numFmtId="0" fontId="14" fillId="13" borderId="0" xfId="0" applyFont="1" applyFill="1" applyAlignment="1">
      <alignment vertical="center"/>
    </xf>
    <xf numFmtId="0" fontId="11" fillId="13" borderId="0" xfId="0" applyFont="1" applyFill="1" applyAlignment="1">
      <alignment vertical="center"/>
    </xf>
    <xf numFmtId="167" fontId="11" fillId="13" borderId="0" xfId="1" applyNumberFormat="1" applyFont="1" applyFill="1" applyBorder="1" applyAlignment="1">
      <alignment vertical="center"/>
    </xf>
    <xf numFmtId="0" fontId="11" fillId="13" borderId="52" xfId="0" applyFont="1" applyFill="1" applyBorder="1" applyAlignment="1">
      <alignment horizontal="center" vertical="center"/>
    </xf>
    <xf numFmtId="0" fontId="40" fillId="0" borderId="0" xfId="0" applyFont="1" applyAlignment="1">
      <alignment horizontal="center" vertical="center" wrapText="1"/>
    </xf>
    <xf numFmtId="167" fontId="16" fillId="13" borderId="0" xfId="1" applyNumberFormat="1" applyFont="1" applyFill="1" applyBorder="1" applyAlignment="1">
      <alignment horizontal="right" vertical="center"/>
    </xf>
    <xf numFmtId="173" fontId="37" fillId="0" borderId="13" xfId="0" applyNumberFormat="1" applyFont="1" applyBorder="1" applyAlignment="1">
      <alignment horizontal="right" shrinkToFit="1"/>
    </xf>
    <xf numFmtId="173" fontId="37" fillId="0" borderId="10" xfId="0" applyNumberFormat="1" applyFont="1" applyBorder="1" applyAlignment="1">
      <alignment horizontal="right" shrinkToFit="1"/>
    </xf>
    <xf numFmtId="173" fontId="37" fillId="0" borderId="14" xfId="0" applyNumberFormat="1" applyFont="1" applyBorder="1" applyAlignment="1">
      <alignment horizontal="right" shrinkToFit="1"/>
    </xf>
    <xf numFmtId="173" fontId="37" fillId="0" borderId="11" xfId="0" applyNumberFormat="1" applyFont="1" applyBorder="1" applyAlignment="1">
      <alignment horizontal="right" shrinkToFit="1"/>
    </xf>
    <xf numFmtId="173" fontId="43" fillId="0" borderId="15" xfId="0" applyNumberFormat="1" applyFont="1" applyBorder="1" applyAlignment="1">
      <alignment horizontal="right" shrinkToFit="1"/>
    </xf>
    <xf numFmtId="173" fontId="43" fillId="0" borderId="12" xfId="0" applyNumberFormat="1" applyFont="1" applyBorder="1" applyAlignment="1">
      <alignment horizontal="right" shrinkToFit="1"/>
    </xf>
    <xf numFmtId="0" fontId="41" fillId="0" borderId="0" xfId="4" applyAlignment="1" applyProtection="1">
      <alignment vertical="center"/>
    </xf>
    <xf numFmtId="164" fontId="11" fillId="17" borderId="0" xfId="1" applyNumberFormat="1" applyFont="1" applyFill="1" applyBorder="1" applyAlignment="1">
      <alignment vertical="center"/>
    </xf>
    <xf numFmtId="164" fontId="16" fillId="17" borderId="0" xfId="1" applyNumberFormat="1" applyFont="1" applyFill="1" applyBorder="1" applyAlignment="1">
      <alignment horizontal="right" vertical="center" wrapText="1"/>
    </xf>
    <xf numFmtId="164" fontId="11" fillId="6" borderId="0" xfId="1" applyNumberFormat="1" applyFont="1" applyFill="1" applyBorder="1" applyAlignment="1">
      <alignment vertical="center"/>
    </xf>
    <xf numFmtId="164" fontId="11" fillId="18" borderId="0" xfId="1" applyNumberFormat="1" applyFont="1" applyFill="1" applyBorder="1" applyAlignment="1">
      <alignment vertical="center"/>
    </xf>
    <xf numFmtId="164" fontId="16" fillId="18" borderId="0" xfId="1" applyNumberFormat="1" applyFont="1" applyFill="1" applyBorder="1" applyAlignment="1">
      <alignment horizontal="right" vertical="center" wrapText="1"/>
    </xf>
    <xf numFmtId="164" fontId="11" fillId="14" borderId="0" xfId="1" applyNumberFormat="1" applyFont="1" applyFill="1" applyBorder="1" applyAlignment="1">
      <alignment vertical="center"/>
    </xf>
    <xf numFmtId="164" fontId="11" fillId="15" borderId="0" xfId="1" applyNumberFormat="1" applyFont="1" applyFill="1" applyBorder="1" applyAlignment="1">
      <alignment vertical="center"/>
    </xf>
    <xf numFmtId="164" fontId="11" fillId="19" borderId="0" xfId="1" applyNumberFormat="1" applyFont="1" applyFill="1" applyBorder="1" applyAlignment="1">
      <alignment vertical="center"/>
    </xf>
    <xf numFmtId="164" fontId="16" fillId="19" borderId="0" xfId="1" applyNumberFormat="1" applyFont="1" applyFill="1" applyBorder="1" applyAlignment="1">
      <alignment horizontal="right" vertical="center" wrapText="1"/>
    </xf>
    <xf numFmtId="164" fontId="11" fillId="16" borderId="0" xfId="1" applyNumberFormat="1" applyFont="1" applyFill="1" applyBorder="1" applyAlignment="1">
      <alignment vertical="center"/>
    </xf>
    <xf numFmtId="164" fontId="16" fillId="16" borderId="0" xfId="1" applyNumberFormat="1" applyFont="1" applyFill="1" applyBorder="1" applyAlignment="1">
      <alignment horizontal="right" vertical="center" wrapText="1"/>
    </xf>
    <xf numFmtId="164" fontId="11" fillId="13" borderId="0" xfId="1" applyNumberFormat="1" applyFont="1" applyFill="1" applyBorder="1" applyAlignment="1">
      <alignment vertical="center"/>
    </xf>
    <xf numFmtId="0" fontId="16" fillId="0" borderId="0" xfId="0" applyFont="1" applyAlignment="1">
      <alignment vertical="center" wrapText="1"/>
    </xf>
    <xf numFmtId="0" fontId="19" fillId="0" borderId="0" xfId="0" applyFont="1"/>
    <xf numFmtId="0" fontId="11" fillId="0" borderId="57" xfId="0" applyFont="1" applyBorder="1" applyAlignment="1">
      <alignment vertical="center"/>
    </xf>
    <xf numFmtId="0" fontId="5" fillId="0" borderId="0" xfId="0" applyFont="1"/>
    <xf numFmtId="0" fontId="0" fillId="20" borderId="0" xfId="0" applyFill="1"/>
    <xf numFmtId="0" fontId="19" fillId="0" borderId="0" xfId="0" applyFont="1" applyAlignment="1">
      <alignment shrinkToFit="1"/>
    </xf>
    <xf numFmtId="0" fontId="0" fillId="20" borderId="0" xfId="0" applyFill="1" applyAlignment="1">
      <alignment shrinkToFit="1"/>
    </xf>
    <xf numFmtId="0" fontId="0" fillId="20" borderId="0" xfId="0" applyFill="1" applyAlignment="1">
      <alignment horizontal="left" shrinkToFit="1"/>
    </xf>
    <xf numFmtId="0" fontId="5" fillId="20" borderId="0" xfId="0" applyFont="1" applyFill="1" applyAlignment="1">
      <alignment shrinkToFit="1"/>
    </xf>
    <xf numFmtId="0" fontId="19" fillId="20" borderId="0" xfId="0" applyFont="1" applyFill="1"/>
    <xf numFmtId="0" fontId="45" fillId="20" borderId="0" xfId="0" applyFont="1" applyFill="1"/>
    <xf numFmtId="0" fontId="5" fillId="20" borderId="0" xfId="0" applyFont="1" applyFill="1"/>
    <xf numFmtId="0" fontId="25" fillId="11" borderId="0" xfId="0" applyFont="1" applyFill="1" applyAlignment="1" applyProtection="1">
      <alignment vertical="center"/>
      <protection locked="0"/>
    </xf>
    <xf numFmtId="0" fontId="16" fillId="11" borderId="0" xfId="0" applyFont="1" applyFill="1" applyAlignment="1" applyProtection="1">
      <alignment horizontal="center" vertical="center"/>
      <protection locked="0"/>
    </xf>
    <xf numFmtId="0" fontId="25" fillId="11" borderId="0" xfId="0" applyFont="1" applyFill="1" applyAlignment="1" applyProtection="1">
      <alignment horizontal="center" vertical="center"/>
      <protection locked="0"/>
    </xf>
    <xf numFmtId="0" fontId="25" fillId="0" borderId="0" xfId="0" applyFont="1"/>
    <xf numFmtId="0" fontId="25" fillId="0" borderId="0" xfId="0" applyFont="1" applyAlignment="1">
      <alignment horizontal="center"/>
    </xf>
    <xf numFmtId="0" fontId="73" fillId="0" borderId="0" xfId="0" applyFont="1"/>
    <xf numFmtId="0" fontId="73" fillId="0" borderId="0" xfId="0" applyFont="1" applyAlignment="1">
      <alignment horizontal="right"/>
    </xf>
    <xf numFmtId="0" fontId="73" fillId="17" borderId="0" xfId="0" applyFont="1" applyFill="1" applyAlignment="1">
      <alignment horizontal="center"/>
    </xf>
    <xf numFmtId="0" fontId="73" fillId="17" borderId="0" xfId="0" applyFont="1" applyFill="1" applyAlignment="1">
      <alignment horizontal="left"/>
    </xf>
    <xf numFmtId="0" fontId="73" fillId="6" borderId="0" xfId="0" applyFont="1" applyFill="1" applyAlignment="1">
      <alignment horizontal="center"/>
    </xf>
    <xf numFmtId="0" fontId="25" fillId="17" borderId="0" xfId="0" applyFont="1" applyFill="1"/>
    <xf numFmtId="0" fontId="25"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left" vertical="center"/>
    </xf>
    <xf numFmtId="0" fontId="73" fillId="17" borderId="0" xfId="0" applyFont="1" applyFill="1" applyAlignment="1">
      <alignment horizontal="center" vertical="center"/>
    </xf>
    <xf numFmtId="0" fontId="73" fillId="6" borderId="0" xfId="0" applyFont="1" applyFill="1" applyAlignment="1">
      <alignment horizontal="center" vertical="center"/>
    </xf>
    <xf numFmtId="0" fontId="74" fillId="0" borderId="0" xfId="0" applyFont="1"/>
    <xf numFmtId="0" fontId="25" fillId="0" borderId="0" xfId="0" applyFont="1" applyAlignment="1">
      <alignment horizontal="left" vertical="center" indent="2"/>
    </xf>
    <xf numFmtId="0" fontId="25" fillId="0" borderId="0" xfId="0" applyFont="1" applyAlignment="1">
      <alignment horizontal="right"/>
    </xf>
    <xf numFmtId="0" fontId="76" fillId="0" borderId="0" xfId="0" applyFont="1" applyAlignment="1">
      <alignment vertical="top"/>
    </xf>
    <xf numFmtId="0" fontId="39" fillId="25" borderId="0" xfId="0" applyFont="1" applyFill="1"/>
    <xf numFmtId="0" fontId="39" fillId="26" borderId="0" xfId="0" applyFont="1" applyFill="1"/>
    <xf numFmtId="0" fontId="43" fillId="0" borderId="0" xfId="0" applyFont="1" applyAlignment="1">
      <alignment horizontal="center" vertical="center"/>
    </xf>
    <xf numFmtId="0" fontId="4" fillId="0" borderId="0" xfId="0" applyFont="1" applyAlignment="1">
      <alignment horizontal="left"/>
    </xf>
    <xf numFmtId="0" fontId="77" fillId="0" borderId="0" xfId="0" applyFont="1" applyAlignment="1">
      <alignment horizontal="right"/>
    </xf>
    <xf numFmtId="0" fontId="4" fillId="0" borderId="0" xfId="0" applyFont="1" applyAlignment="1">
      <alignment horizontal="right"/>
    </xf>
    <xf numFmtId="0" fontId="48" fillId="0" borderId="0" xfId="0" applyFont="1" applyAlignment="1">
      <alignment shrinkToFit="1"/>
    </xf>
    <xf numFmtId="0" fontId="78" fillId="0" borderId="0" xfId="0" applyFont="1" applyAlignment="1">
      <alignment horizontal="left"/>
    </xf>
    <xf numFmtId="0" fontId="79" fillId="0" borderId="0" xfId="0" applyFont="1" applyAlignment="1">
      <alignment shrinkToFit="1"/>
    </xf>
    <xf numFmtId="0" fontId="43" fillId="0" borderId="13" xfId="0" applyFont="1" applyBorder="1"/>
    <xf numFmtId="0" fontId="45" fillId="21" borderId="58" xfId="0" applyFont="1" applyFill="1" applyBorder="1"/>
    <xf numFmtId="0" fontId="37" fillId="0" borderId="19" xfId="0" applyFont="1" applyBorder="1" applyAlignment="1">
      <alignment horizontal="center" vertical="center" shrinkToFit="1"/>
    </xf>
    <xf numFmtId="0" fontId="37" fillId="0" borderId="13" xfId="0" applyFont="1" applyBorder="1" applyAlignment="1">
      <alignment horizontal="center" vertical="center" shrinkToFit="1"/>
    </xf>
    <xf numFmtId="0" fontId="73" fillId="0" borderId="0" xfId="0" applyFont="1" applyAlignment="1">
      <alignment vertical="center" shrinkToFit="1"/>
    </xf>
    <xf numFmtId="0" fontId="73" fillId="0" borderId="0" xfId="0" applyFont="1" applyAlignment="1">
      <alignment vertical="center"/>
    </xf>
    <xf numFmtId="0" fontId="73" fillId="18" borderId="0" xfId="0" applyFont="1" applyFill="1" applyAlignment="1">
      <alignment horizontal="center"/>
    </xf>
    <xf numFmtId="0" fontId="73" fillId="18" borderId="0" xfId="0" applyFont="1" applyFill="1" applyAlignment="1">
      <alignment horizontal="center" vertical="center"/>
    </xf>
    <xf numFmtId="0" fontId="73" fillId="19" borderId="0" xfId="0" applyFont="1" applyFill="1" applyAlignment="1">
      <alignment vertical="center" shrinkToFit="1"/>
    </xf>
    <xf numFmtId="0" fontId="73" fillId="16" borderId="0" xfId="0" applyFont="1" applyFill="1" applyAlignment="1">
      <alignment vertical="center" shrinkToFit="1"/>
    </xf>
    <xf numFmtId="0" fontId="25" fillId="17" borderId="0" xfId="0" applyFont="1" applyFill="1" applyAlignment="1">
      <alignment vertical="center"/>
    </xf>
    <xf numFmtId="0" fontId="25" fillId="17" borderId="0" xfId="0" applyFont="1" applyFill="1" applyAlignment="1">
      <alignment horizontal="center" vertical="center"/>
    </xf>
    <xf numFmtId="0" fontId="25" fillId="18" borderId="0" xfId="0" applyFont="1" applyFill="1"/>
    <xf numFmtId="0" fontId="25" fillId="15" borderId="0" xfId="0" applyFont="1" applyFill="1"/>
    <xf numFmtId="0" fontId="73" fillId="14" borderId="0" xfId="0" applyFont="1" applyFill="1" applyAlignment="1">
      <alignment horizontal="center"/>
    </xf>
    <xf numFmtId="0" fontId="73" fillId="14" borderId="0" xfId="0" applyFont="1" applyFill="1" applyAlignment="1">
      <alignment horizontal="center" vertical="center"/>
    </xf>
    <xf numFmtId="0" fontId="73" fillId="15" borderId="0" xfId="0" applyFont="1" applyFill="1" applyAlignment="1">
      <alignment horizontal="center"/>
    </xf>
    <xf numFmtId="0" fontId="73" fillId="15" borderId="0" xfId="0" applyFont="1" applyFill="1" applyAlignment="1">
      <alignment horizontal="center" vertical="center"/>
    </xf>
    <xf numFmtId="0" fontId="73" fillId="19" borderId="0" xfId="0" applyFont="1" applyFill="1" applyAlignment="1">
      <alignment horizontal="center"/>
    </xf>
    <xf numFmtId="0" fontId="73" fillId="19" borderId="0" xfId="0" applyFont="1" applyFill="1" applyAlignment="1">
      <alignment horizontal="center" vertical="center"/>
    </xf>
    <xf numFmtId="0" fontId="73" fillId="16" borderId="0" xfId="0" applyFont="1" applyFill="1" applyAlignment="1">
      <alignment horizontal="center"/>
    </xf>
    <xf numFmtId="0" fontId="73" fillId="16" borderId="0" xfId="0" applyFont="1" applyFill="1" applyAlignment="1">
      <alignment horizontal="center" vertical="center"/>
    </xf>
    <xf numFmtId="0" fontId="73" fillId="13" borderId="0" xfId="0" applyFont="1" applyFill="1" applyAlignment="1">
      <alignment horizontal="center"/>
    </xf>
    <xf numFmtId="0" fontId="73" fillId="13" borderId="0" xfId="0" applyFont="1" applyFill="1" applyAlignment="1">
      <alignment horizontal="center" vertical="center"/>
    </xf>
    <xf numFmtId="0" fontId="73" fillId="13" borderId="0" xfId="0" applyFont="1" applyFill="1" applyAlignment="1">
      <alignment vertical="center" shrinkToFit="1"/>
    </xf>
    <xf numFmtId="0" fontId="48" fillId="0" borderId="0" xfId="0" applyFont="1" applyAlignment="1">
      <alignment vertical="center"/>
    </xf>
    <xf numFmtId="0" fontId="25" fillId="2" borderId="0" xfId="0" applyFont="1" applyFill="1" applyAlignment="1">
      <alignment horizontal="centerContinuous"/>
    </xf>
    <xf numFmtId="0" fontId="74" fillId="2" borderId="0" xfId="0" applyFont="1" applyFill="1" applyAlignment="1">
      <alignment horizontal="centerContinuous"/>
    </xf>
    <xf numFmtId="0" fontId="25" fillId="2" borderId="0" xfId="0" applyFont="1" applyFill="1" applyAlignment="1">
      <alignment horizontal="centerContinuous" vertical="center"/>
    </xf>
    <xf numFmtId="0" fontId="75" fillId="17" borderId="0" xfId="0" applyFont="1" applyFill="1" applyAlignment="1">
      <alignment horizontal="left"/>
    </xf>
    <xf numFmtId="0" fontId="75" fillId="6" borderId="0" xfId="0" applyFont="1" applyFill="1" applyAlignment="1">
      <alignment horizontal="left"/>
    </xf>
    <xf numFmtId="0" fontId="75" fillId="18" borderId="0" xfId="0" applyFont="1" applyFill="1" applyAlignment="1">
      <alignment horizontal="left"/>
    </xf>
    <xf numFmtId="0" fontId="75" fillId="14" borderId="0" xfId="0" applyFont="1" applyFill="1" applyAlignment="1">
      <alignment horizontal="left"/>
    </xf>
    <xf numFmtId="0" fontId="75" fillId="15" borderId="0" xfId="0" applyFont="1" applyFill="1" applyAlignment="1">
      <alignment horizontal="left"/>
    </xf>
    <xf numFmtId="0" fontId="75" fillId="19" borderId="0" xfId="0" applyFont="1" applyFill="1" applyAlignment="1">
      <alignment horizontal="left"/>
    </xf>
    <xf numFmtId="0" fontId="75" fillId="16" borderId="0" xfId="0" applyFont="1" applyFill="1" applyAlignment="1">
      <alignment horizontal="left"/>
    </xf>
    <xf numFmtId="0" fontId="75" fillId="13" borderId="0" xfId="0" applyFont="1" applyFill="1" applyAlignment="1">
      <alignment horizontal="left"/>
    </xf>
    <xf numFmtId="0" fontId="25" fillId="3" borderId="61" xfId="0" applyFont="1" applyFill="1" applyBorder="1"/>
    <xf numFmtId="0" fontId="25" fillId="0" borderId="60" xfId="0" applyFont="1" applyBorder="1" applyAlignment="1">
      <alignment horizontal="center"/>
    </xf>
    <xf numFmtId="0" fontId="25" fillId="0" borderId="61" xfId="0" applyFont="1" applyBorder="1" applyAlignment="1">
      <alignment horizontal="right" shrinkToFit="1"/>
    </xf>
    <xf numFmtId="0" fontId="25" fillId="0" borderId="60" xfId="0" applyFont="1" applyBorder="1" applyAlignment="1">
      <alignment horizontal="right" vertical="center"/>
    </xf>
    <xf numFmtId="0" fontId="25" fillId="0" borderId="71" xfId="0" applyFont="1" applyBorder="1" applyAlignment="1">
      <alignment horizontal="center"/>
    </xf>
    <xf numFmtId="0" fontId="25" fillId="0" borderId="68" xfId="0" applyFont="1" applyBorder="1" applyAlignment="1">
      <alignment horizontal="right"/>
    </xf>
    <xf numFmtId="0" fontId="25" fillId="3" borderId="68" xfId="0" applyFont="1" applyFill="1" applyBorder="1" applyAlignment="1">
      <alignment horizontal="center"/>
    </xf>
    <xf numFmtId="0" fontId="74" fillId="0" borderId="67" xfId="0" applyFont="1" applyBorder="1" applyAlignment="1">
      <alignment horizontal="centerContinuous"/>
    </xf>
    <xf numFmtId="0" fontId="25" fillId="0" borderId="67" xfId="0" applyFont="1" applyBorder="1" applyAlignment="1">
      <alignment horizontal="centerContinuous"/>
    </xf>
    <xf numFmtId="0" fontId="25" fillId="0" borderId="67" xfId="0" applyFont="1" applyBorder="1" applyAlignment="1">
      <alignment horizontal="centerContinuous" vertical="center"/>
    </xf>
    <xf numFmtId="0" fontId="73" fillId="0" borderId="57" xfId="0" applyFont="1" applyBorder="1" applyAlignment="1">
      <alignment horizontal="right" vertical="center"/>
    </xf>
    <xf numFmtId="168" fontId="11" fillId="0" borderId="72" xfId="0" applyNumberFormat="1" applyFont="1" applyBorder="1" applyAlignment="1">
      <alignment vertical="center"/>
    </xf>
    <xf numFmtId="0" fontId="11" fillId="0" borderId="73" xfId="0" applyFont="1" applyBorder="1" applyAlignment="1">
      <alignment vertical="center"/>
    </xf>
    <xf numFmtId="0" fontId="25" fillId="17" borderId="0" xfId="0" applyFont="1" applyFill="1" applyAlignment="1">
      <alignment horizontal="right"/>
    </xf>
    <xf numFmtId="0" fontId="25" fillId="6" borderId="0" xfId="0" applyFont="1" applyFill="1" applyAlignment="1">
      <alignment horizontal="right"/>
    </xf>
    <xf numFmtId="0" fontId="25" fillId="18" borderId="0" xfId="0" applyFont="1" applyFill="1" applyAlignment="1">
      <alignment horizontal="right"/>
    </xf>
    <xf numFmtId="0" fontId="25" fillId="14" borderId="0" xfId="0" applyFont="1" applyFill="1" applyAlignment="1">
      <alignment horizontal="right"/>
    </xf>
    <xf numFmtId="0" fontId="25" fillId="15" borderId="0" xfId="0" applyFont="1" applyFill="1" applyAlignment="1">
      <alignment horizontal="right"/>
    </xf>
    <xf numFmtId="0" fontId="25" fillId="19" borderId="0" xfId="0" applyFont="1" applyFill="1" applyAlignment="1">
      <alignment horizontal="right"/>
    </xf>
    <xf numFmtId="0" fontId="25" fillId="16" borderId="0" xfId="0" applyFont="1" applyFill="1" applyAlignment="1">
      <alignment horizontal="right"/>
    </xf>
    <xf numFmtId="0" fontId="25" fillId="13" borderId="0" xfId="0" applyFont="1" applyFill="1" applyAlignment="1">
      <alignment horizontal="right"/>
    </xf>
    <xf numFmtId="0" fontId="25" fillId="17" borderId="0" xfId="0" applyFont="1" applyFill="1" applyAlignment="1">
      <alignment horizontal="right" vertical="center"/>
    </xf>
    <xf numFmtId="0" fontId="25" fillId="6" borderId="0" xfId="0" applyFont="1" applyFill="1" applyAlignment="1">
      <alignment horizontal="right" vertical="center"/>
    </xf>
    <xf numFmtId="0" fontId="25" fillId="18" borderId="0" xfId="0" applyFont="1" applyFill="1" applyAlignment="1">
      <alignment horizontal="right" vertical="center"/>
    </xf>
    <xf numFmtId="0" fontId="25" fillId="14" borderId="0" xfId="0" applyFont="1" applyFill="1" applyAlignment="1">
      <alignment horizontal="right" vertical="center"/>
    </xf>
    <xf numFmtId="0" fontId="25" fillId="15" borderId="0" xfId="0" applyFont="1" applyFill="1" applyAlignment="1">
      <alignment horizontal="right" vertical="center"/>
    </xf>
    <xf numFmtId="0" fontId="25" fillId="19" borderId="0" xfId="0" applyFont="1" applyFill="1" applyAlignment="1">
      <alignment horizontal="right" vertical="center"/>
    </xf>
    <xf numFmtId="0" fontId="25" fillId="16" borderId="0" xfId="0" applyFont="1" applyFill="1" applyAlignment="1">
      <alignment horizontal="right" vertical="center"/>
    </xf>
    <xf numFmtId="0" fontId="25" fillId="13" borderId="0" xfId="0" applyFont="1" applyFill="1" applyAlignment="1">
      <alignment horizontal="right" vertical="center"/>
    </xf>
    <xf numFmtId="0" fontId="48" fillId="0" borderId="59" xfId="0" applyFont="1" applyBorder="1" applyAlignment="1">
      <alignment vertical="center"/>
    </xf>
    <xf numFmtId="0" fontId="48" fillId="0" borderId="0" xfId="0" applyFont="1" applyAlignment="1">
      <alignment horizontal="left" vertical="center"/>
    </xf>
    <xf numFmtId="0" fontId="73" fillId="0" borderId="0" xfId="0" applyFont="1" applyAlignment="1">
      <alignment horizontal="left"/>
    </xf>
    <xf numFmtId="0" fontId="11" fillId="3" borderId="0" xfId="0" applyFont="1" applyFill="1" applyAlignment="1">
      <alignment vertical="center" wrapText="1"/>
    </xf>
    <xf numFmtId="0" fontId="13" fillId="3" borderId="0" xfId="0" applyFont="1" applyFill="1" applyAlignment="1">
      <alignment vertical="center" wrapText="1"/>
    </xf>
    <xf numFmtId="0" fontId="82" fillId="0" borderId="0" xfId="0" applyFont="1" applyAlignment="1">
      <alignment vertical="center"/>
    </xf>
    <xf numFmtId="0" fontId="11" fillId="5" borderId="0" xfId="0" applyFont="1" applyFill="1" applyAlignment="1" applyProtection="1">
      <alignment horizontal="center"/>
      <protection locked="0"/>
    </xf>
    <xf numFmtId="0" fontId="11" fillId="5" borderId="0" xfId="0" applyFont="1" applyFill="1" applyAlignment="1">
      <alignment vertical="center"/>
    </xf>
    <xf numFmtId="0" fontId="82" fillId="0" borderId="0" xfId="0" applyFont="1" applyAlignment="1" applyProtection="1">
      <alignment horizontal="center"/>
      <protection locked="0"/>
    </xf>
    <xf numFmtId="0" fontId="62" fillId="3" borderId="0" xfId="0" applyFont="1" applyFill="1" applyAlignment="1">
      <alignment horizontal="center" vertical="center"/>
    </xf>
    <xf numFmtId="0" fontId="62" fillId="3" borderId="0" xfId="0" applyFont="1" applyFill="1" applyAlignment="1">
      <alignment horizontal="left" vertical="center"/>
    </xf>
    <xf numFmtId="0" fontId="60" fillId="3" borderId="0" xfId="0" applyFont="1" applyFill="1" applyAlignment="1">
      <alignment horizontal="right" vertical="center"/>
    </xf>
    <xf numFmtId="0" fontId="62" fillId="3" borderId="0" xfId="0" applyFont="1" applyFill="1" applyAlignment="1">
      <alignment horizontal="right" vertical="center"/>
    </xf>
    <xf numFmtId="167" fontId="66" fillId="3" borderId="0" xfId="0" applyNumberFormat="1" applyFont="1" applyFill="1" applyAlignment="1">
      <alignment vertical="center" shrinkToFit="1"/>
    </xf>
    <xf numFmtId="0" fontId="61" fillId="3" borderId="0" xfId="0" applyFont="1" applyFill="1" applyAlignment="1">
      <alignment horizontal="center" vertical="center"/>
    </xf>
    <xf numFmtId="171" fontId="63" fillId="3" borderId="0" xfId="0" applyNumberFormat="1" applyFont="1" applyFill="1" applyAlignment="1">
      <alignment horizontal="center" vertical="center"/>
    </xf>
    <xf numFmtId="0" fontId="67" fillId="0" borderId="0" xfId="0" applyFont="1" applyAlignment="1">
      <alignment vertical="center"/>
    </xf>
    <xf numFmtId="0" fontId="51" fillId="0" borderId="0" xfId="0" applyFont="1" applyAlignment="1">
      <alignment vertical="center"/>
    </xf>
    <xf numFmtId="14" fontId="11" fillId="0" borderId="0" xfId="0" applyNumberFormat="1" applyFont="1" applyAlignment="1">
      <alignment vertical="center"/>
    </xf>
    <xf numFmtId="0" fontId="83" fillId="3" borderId="0" xfId="0" applyFont="1" applyFill="1" applyAlignment="1">
      <alignment horizontal="left" vertical="center"/>
    </xf>
    <xf numFmtId="0" fontId="11" fillId="0" borderId="45" xfId="0" applyFont="1" applyBorder="1" applyAlignment="1">
      <alignment vertical="center" wrapText="1"/>
    </xf>
    <xf numFmtId="0" fontId="11" fillId="0" borderId="54" xfId="0" applyFont="1" applyBorder="1" applyAlignment="1">
      <alignment vertical="center" wrapText="1"/>
    </xf>
    <xf numFmtId="0" fontId="0" fillId="0" borderId="0" xfId="0" applyAlignment="1">
      <alignment horizontal="centerContinuous"/>
    </xf>
    <xf numFmtId="164" fontId="0" fillId="0" borderId="0" xfId="0" applyNumberFormat="1"/>
    <xf numFmtId="164" fontId="14" fillId="6" borderId="0" xfId="0" applyNumberFormat="1" applyFont="1" applyFill="1" applyAlignment="1">
      <alignment vertical="center"/>
    </xf>
    <xf numFmtId="164" fontId="33" fillId="18" borderId="0" xfId="0" applyNumberFormat="1" applyFont="1" applyFill="1" applyAlignment="1">
      <alignment horizontal="left" vertical="center"/>
    </xf>
    <xf numFmtId="164" fontId="11" fillId="14" borderId="0" xfId="0" applyNumberFormat="1" applyFont="1" applyFill="1" applyAlignment="1">
      <alignment vertical="center"/>
    </xf>
    <xf numFmtId="164" fontId="11" fillId="15" borderId="0" xfId="0" applyNumberFormat="1" applyFont="1" applyFill="1" applyAlignment="1">
      <alignment vertical="center"/>
    </xf>
    <xf numFmtId="164" fontId="11" fillId="19" borderId="0" xfId="0" applyNumberFormat="1" applyFont="1" applyFill="1" applyAlignment="1">
      <alignment vertical="center"/>
    </xf>
    <xf numFmtId="164" fontId="13" fillId="16" borderId="0" xfId="0" applyNumberFormat="1" applyFont="1" applyFill="1" applyAlignment="1">
      <alignment horizontal="right" vertical="center"/>
    </xf>
    <xf numFmtId="164" fontId="11" fillId="13" borderId="0" xfId="0" applyNumberFormat="1" applyFont="1" applyFill="1" applyAlignment="1">
      <alignment vertical="center"/>
    </xf>
    <xf numFmtId="0" fontId="68" fillId="0" borderId="0" xfId="0" applyFont="1" applyAlignment="1">
      <alignment vertical="center"/>
    </xf>
    <xf numFmtId="0" fontId="85" fillId="0" borderId="52" xfId="0" applyFont="1" applyBorder="1" applyAlignment="1">
      <alignment horizontal="left" vertical="top" wrapText="1"/>
    </xf>
    <xf numFmtId="0" fontId="0" fillId="0" borderId="74" xfId="0" applyBorder="1"/>
    <xf numFmtId="0" fontId="86" fillId="0" borderId="0" xfId="0" applyFont="1" applyAlignment="1">
      <alignment vertical="center"/>
    </xf>
    <xf numFmtId="0" fontId="68" fillId="0" borderId="0" xfId="0" applyFont="1" applyAlignment="1">
      <alignment vertical="center" wrapText="1"/>
    </xf>
    <xf numFmtId="0" fontId="84" fillId="0" borderId="0" xfId="0" applyFont="1" applyAlignment="1">
      <alignment vertical="center" wrapText="1"/>
    </xf>
    <xf numFmtId="0" fontId="88" fillId="0" borderId="0" xfId="0" applyFont="1"/>
    <xf numFmtId="0" fontId="90" fillId="0" borderId="0" xfId="0" applyFont="1" applyAlignment="1">
      <alignment horizontal="right"/>
    </xf>
    <xf numFmtId="0" fontId="49" fillId="0" borderId="0" xfId="0" applyFont="1" applyAlignment="1">
      <alignment vertical="center"/>
    </xf>
    <xf numFmtId="0" fontId="42" fillId="0" borderId="0" xfId="0" applyFont="1" applyAlignment="1" applyProtection="1">
      <alignment horizontal="center" vertical="center" shrinkToFit="1"/>
      <protection locked="0"/>
    </xf>
    <xf numFmtId="0" fontId="11" fillId="18" borderId="0" xfId="0" applyFont="1" applyFill="1" applyAlignment="1">
      <alignment horizontal="center" vertical="center"/>
    </xf>
    <xf numFmtId="0" fontId="42" fillId="0" borderId="52" xfId="0" applyFont="1" applyBorder="1" applyAlignment="1" applyProtection="1">
      <alignment horizontal="center" vertical="center" shrinkToFit="1"/>
      <protection locked="0"/>
    </xf>
    <xf numFmtId="0" fontId="0" fillId="0" borderId="0" xfId="0" applyAlignment="1">
      <alignment vertical="top" wrapText="1"/>
    </xf>
    <xf numFmtId="0" fontId="92" fillId="0" borderId="0" xfId="0" applyFont="1" applyAlignment="1" applyProtection="1">
      <alignment vertical="center"/>
      <protection locked="0"/>
    </xf>
    <xf numFmtId="0" fontId="41" fillId="23" borderId="0" xfId="4" applyFill="1" applyAlignment="1" applyProtection="1">
      <alignment vertical="center"/>
      <protection locked="0"/>
    </xf>
    <xf numFmtId="0" fontId="11" fillId="0" borderId="0" xfId="0" applyFont="1" applyAlignment="1">
      <alignment vertical="center" shrinkToFit="1"/>
    </xf>
    <xf numFmtId="0" fontId="25" fillId="23" borderId="0" xfId="4" applyFont="1" applyFill="1" applyBorder="1" applyAlignment="1" applyProtection="1">
      <alignment horizontal="right" vertical="center"/>
    </xf>
    <xf numFmtId="166" fontId="0" fillId="0" borderId="0" xfId="0" applyNumberFormat="1"/>
    <xf numFmtId="0" fontId="93" fillId="0" borderId="0" xfId="0" applyFont="1" applyAlignment="1">
      <alignment horizontal="center" vertical="center"/>
    </xf>
    <xf numFmtId="0" fontId="25" fillId="0" borderId="67" xfId="0" applyFont="1" applyBorder="1"/>
    <xf numFmtId="0" fontId="5" fillId="0" borderId="0" xfId="0" applyFont="1" applyAlignment="1">
      <alignment shrinkToFit="1"/>
    </xf>
    <xf numFmtId="0" fontId="86" fillId="0" borderId="0" xfId="0" applyFont="1" applyAlignment="1">
      <alignment vertical="center" shrinkToFit="1"/>
    </xf>
    <xf numFmtId="0" fontId="16" fillId="27" borderId="0" xfId="0" applyFont="1" applyFill="1" applyAlignment="1" applyProtection="1">
      <alignment horizontal="center"/>
      <protection locked="0"/>
    </xf>
    <xf numFmtId="164" fontId="16" fillId="13" borderId="0" xfId="1" applyNumberFormat="1" applyFont="1" applyFill="1" applyBorder="1" applyAlignment="1">
      <alignment horizontal="right" vertical="center" wrapText="1"/>
    </xf>
    <xf numFmtId="0" fontId="0" fillId="0" borderId="0" xfId="0" applyAlignment="1" applyProtection="1">
      <alignment horizontal="center" wrapText="1"/>
      <protection locked="0"/>
    </xf>
    <xf numFmtId="0" fontId="33" fillId="13" borderId="0" xfId="0" applyFont="1" applyFill="1" applyAlignment="1">
      <alignment vertical="center" shrinkToFit="1"/>
    </xf>
    <xf numFmtId="0" fontId="0" fillId="0" borderId="0" xfId="0" applyAlignment="1">
      <alignment vertical="center" wrapText="1"/>
    </xf>
    <xf numFmtId="164" fontId="16" fillId="15" borderId="0" xfId="1" applyNumberFormat="1" applyFont="1" applyFill="1" applyBorder="1" applyAlignment="1">
      <alignment horizontal="right" vertical="center" wrapText="1"/>
    </xf>
    <xf numFmtId="1" fontId="0" fillId="0" borderId="0" xfId="0" applyNumberFormat="1"/>
    <xf numFmtId="0" fontId="15"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left" vertical="center"/>
    </xf>
    <xf numFmtId="0" fontId="11" fillId="2" borderId="54" xfId="0" applyFont="1" applyFill="1" applyBorder="1" applyAlignment="1">
      <alignment vertical="center"/>
    </xf>
    <xf numFmtId="0" fontId="14" fillId="2" borderId="54" xfId="0" applyFont="1" applyFill="1" applyBorder="1" applyAlignment="1">
      <alignment vertical="center"/>
    </xf>
    <xf numFmtId="0" fontId="94" fillId="28" borderId="0" xfId="0" applyFont="1" applyFill="1" applyAlignment="1" applyProtection="1">
      <alignment horizontal="center" vertical="center"/>
      <protection locked="0"/>
    </xf>
    <xf numFmtId="0" fontId="95" fillId="28" borderId="0" xfId="0" applyFont="1" applyFill="1" applyAlignment="1" applyProtection="1">
      <alignment horizontal="center" vertical="center"/>
      <protection locked="0"/>
    </xf>
    <xf numFmtId="0" fontId="16" fillId="2" borderId="0" xfId="0" applyFont="1" applyFill="1" applyAlignment="1">
      <alignment horizontal="left" vertical="center"/>
    </xf>
    <xf numFmtId="0" fontId="49" fillId="0" borderId="0" xfId="0" applyFont="1" applyAlignment="1">
      <alignment horizontal="right" vertical="center"/>
    </xf>
    <xf numFmtId="0" fontId="49" fillId="0" borderId="0" xfId="0" applyFont="1" applyAlignment="1">
      <alignment horizontal="center" vertical="center"/>
    </xf>
    <xf numFmtId="0" fontId="106" fillId="0" borderId="0" xfId="0" applyFont="1" applyAlignment="1">
      <alignment vertical="center"/>
    </xf>
    <xf numFmtId="0" fontId="95" fillId="0" borderId="0" xfId="0" applyFont="1" applyAlignment="1" applyProtection="1">
      <alignment vertical="center"/>
      <protection locked="0"/>
    </xf>
    <xf numFmtId="0" fontId="25" fillId="0" borderId="7" xfId="0" applyFont="1" applyBorder="1" applyAlignment="1" applyProtection="1">
      <alignment vertical="center"/>
      <protection locked="0"/>
    </xf>
    <xf numFmtId="0" fontId="16"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6" fillId="0" borderId="7" xfId="0" applyFont="1" applyBorder="1" applyAlignment="1" applyProtection="1">
      <alignment vertical="center"/>
      <protection locked="0"/>
    </xf>
    <xf numFmtId="0" fontId="16" fillId="29" borderId="0" xfId="0" applyFont="1" applyFill="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0" fontId="11" fillId="0" borderId="9" xfId="0" applyFont="1" applyBorder="1" applyAlignment="1">
      <alignment vertical="center"/>
    </xf>
    <xf numFmtId="0" fontId="45" fillId="0" borderId="0" xfId="0" applyFont="1" applyAlignment="1">
      <alignment vertical="top" wrapText="1"/>
    </xf>
    <xf numFmtId="0" fontId="45" fillId="0" borderId="0" xfId="0" applyFont="1" applyAlignment="1">
      <alignment wrapText="1"/>
    </xf>
    <xf numFmtId="0" fontId="95" fillId="30" borderId="0" xfId="0" applyFont="1" applyFill="1" applyAlignment="1" applyProtection="1">
      <alignment vertical="center"/>
      <protection locked="0"/>
    </xf>
    <xf numFmtId="0" fontId="13" fillId="3"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39" fillId="18" borderId="51" xfId="0" applyFont="1" applyFill="1" applyBorder="1" applyAlignment="1">
      <alignment vertical="top" wrapText="1"/>
    </xf>
    <xf numFmtId="0" fontId="0" fillId="18" borderId="51" xfId="0" applyFill="1" applyBorder="1"/>
    <xf numFmtId="0" fontId="11" fillId="18" borderId="51" xfId="0" applyFont="1" applyFill="1" applyBorder="1" applyAlignment="1">
      <alignment vertical="center"/>
    </xf>
    <xf numFmtId="0" fontId="39" fillId="14" borderId="51" xfId="0" applyFont="1" applyFill="1" applyBorder="1" applyAlignment="1">
      <alignment vertical="top" wrapText="1"/>
    </xf>
    <xf numFmtId="0" fontId="0" fillId="14" borderId="51" xfId="0" applyFill="1" applyBorder="1"/>
    <xf numFmtId="0" fontId="39" fillId="19" borderId="51" xfId="0" applyFont="1" applyFill="1" applyBorder="1" applyAlignment="1">
      <alignment vertical="top" wrapText="1"/>
    </xf>
    <xf numFmtId="0" fontId="0" fillId="19" borderId="51" xfId="0" applyFill="1" applyBorder="1"/>
    <xf numFmtId="0" fontId="11" fillId="19" borderId="51" xfId="0" applyFont="1" applyFill="1" applyBorder="1" applyAlignment="1">
      <alignment vertical="center"/>
    </xf>
    <xf numFmtId="0" fontId="39" fillId="15" borderId="51" xfId="0" applyFont="1" applyFill="1" applyBorder="1" applyAlignment="1">
      <alignment vertical="top" wrapText="1"/>
    </xf>
    <xf numFmtId="0" fontId="0" fillId="15" borderId="51" xfId="0" applyFill="1" applyBorder="1"/>
    <xf numFmtId="0" fontId="11" fillId="15" borderId="51" xfId="0" applyFont="1" applyFill="1" applyBorder="1" applyAlignment="1">
      <alignment vertical="center"/>
    </xf>
    <xf numFmtId="0" fontId="39" fillId="16" borderId="51" xfId="0" applyFont="1" applyFill="1" applyBorder="1" applyAlignment="1">
      <alignment vertical="top" wrapText="1"/>
    </xf>
    <xf numFmtId="0" fontId="0" fillId="16" borderId="51" xfId="0" applyFill="1" applyBorder="1"/>
    <xf numFmtId="0" fontId="11" fillId="16" borderId="51" xfId="0" applyFont="1" applyFill="1" applyBorder="1" applyAlignment="1">
      <alignment vertical="center"/>
    </xf>
    <xf numFmtId="0" fontId="39" fillId="17" borderId="36" xfId="0" applyFont="1" applyFill="1" applyBorder="1" applyAlignment="1">
      <alignment vertical="top" wrapText="1"/>
    </xf>
    <xf numFmtId="0" fontId="0" fillId="17" borderId="36" xfId="0" applyFill="1" applyBorder="1"/>
    <xf numFmtId="0" fontId="0" fillId="17" borderId="42" xfId="0" applyFill="1" applyBorder="1"/>
    <xf numFmtId="0" fontId="11" fillId="17" borderId="42" xfId="0" applyFont="1" applyFill="1" applyBorder="1" applyAlignment="1">
      <alignment vertical="center"/>
    </xf>
    <xf numFmtId="0" fontId="39" fillId="6" borderId="51" xfId="0" applyFont="1" applyFill="1" applyBorder="1" applyAlignment="1">
      <alignment vertical="top" wrapText="1"/>
    </xf>
    <xf numFmtId="0" fontId="0" fillId="6" borderId="51" xfId="0" applyFill="1" applyBorder="1"/>
    <xf numFmtId="0" fontId="39" fillId="13" borderId="51" xfId="0" applyFont="1" applyFill="1" applyBorder="1" applyAlignment="1">
      <alignment vertical="top" wrapText="1"/>
    </xf>
    <xf numFmtId="0" fontId="0" fillId="13" borderId="51" xfId="0" applyFill="1" applyBorder="1"/>
    <xf numFmtId="0" fontId="107" fillId="0" borderId="0" xfId="0" applyFont="1"/>
    <xf numFmtId="0" fontId="0" fillId="27" borderId="0" xfId="0" applyFill="1" applyProtection="1">
      <protection locked="0"/>
    </xf>
    <xf numFmtId="14" fontId="25" fillId="17" borderId="0" xfId="0" applyNumberFormat="1" applyFont="1" applyFill="1" applyAlignment="1">
      <alignment horizontal="right"/>
    </xf>
    <xf numFmtId="0" fontId="14" fillId="0" borderId="0" xfId="0" applyFont="1" applyAlignment="1">
      <alignment vertical="center" shrinkToFit="1"/>
    </xf>
    <xf numFmtId="0" fontId="16" fillId="27" borderId="0" xfId="0" applyFont="1" applyFill="1" applyAlignment="1" applyProtection="1">
      <alignment vertical="center"/>
      <protection locked="0"/>
    </xf>
    <xf numFmtId="0" fontId="73" fillId="0" borderId="0" xfId="0" applyFont="1" applyAlignment="1">
      <alignment horizontal="center"/>
    </xf>
    <xf numFmtId="0" fontId="48" fillId="0" borderId="57" xfId="0" applyFont="1" applyBorder="1" applyAlignment="1">
      <alignment horizontal="left" vertical="center"/>
    </xf>
    <xf numFmtId="0" fontId="48" fillId="0" borderId="57" xfId="0" applyFont="1" applyBorder="1" applyAlignment="1">
      <alignment horizontal="left" vertical="center" wrapText="1"/>
    </xf>
    <xf numFmtId="0" fontId="48" fillId="0" borderId="0" xfId="0" applyFont="1" applyAlignment="1">
      <alignment horizontal="left" vertical="center" wrapText="1"/>
    </xf>
    <xf numFmtId="0" fontId="48" fillId="3" borderId="0" xfId="0" applyFont="1" applyFill="1" applyAlignment="1">
      <alignment horizontal="left" vertical="center"/>
    </xf>
    <xf numFmtId="0" fontId="108" fillId="0" borderId="0" xfId="0" applyFont="1" applyAlignment="1">
      <alignment horizontal="left" vertical="center"/>
    </xf>
    <xf numFmtId="0" fontId="48" fillId="3" borderId="0" xfId="0" applyFont="1" applyFill="1" applyAlignment="1">
      <alignment vertical="center"/>
    </xf>
    <xf numFmtId="0" fontId="48" fillId="0" borderId="0" xfId="0" applyFont="1"/>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right" vertical="center" indent="2"/>
    </xf>
    <xf numFmtId="14" fontId="48" fillId="0" borderId="0" xfId="0" applyNumberFormat="1" applyFont="1" applyAlignment="1">
      <alignment vertical="center"/>
    </xf>
    <xf numFmtId="0" fontId="48" fillId="18" borderId="0" xfId="0" applyFont="1" applyFill="1" applyAlignment="1">
      <alignment horizontal="center"/>
    </xf>
    <xf numFmtId="0" fontId="48" fillId="18" borderId="0" xfId="0" applyFont="1" applyFill="1" applyAlignment="1">
      <alignment horizontal="center" vertical="center"/>
    </xf>
    <xf numFmtId="0" fontId="48" fillId="15" borderId="0" xfId="0" applyFont="1" applyFill="1" applyAlignment="1">
      <alignment horizontal="center"/>
    </xf>
    <xf numFmtId="0" fontId="48" fillId="15" borderId="0" xfId="0" applyFont="1" applyFill="1" applyAlignment="1">
      <alignment horizontal="center" vertical="center"/>
    </xf>
    <xf numFmtId="0" fontId="48" fillId="19" borderId="0" xfId="0" applyFont="1" applyFill="1" applyAlignment="1">
      <alignment horizontal="left" vertical="center"/>
    </xf>
    <xf numFmtId="0" fontId="48" fillId="19" borderId="0" xfId="0" applyFont="1" applyFill="1" applyAlignment="1">
      <alignment vertical="center"/>
    </xf>
    <xf numFmtId="0" fontId="48" fillId="16" borderId="0" xfId="0" applyFont="1" applyFill="1" applyAlignment="1">
      <alignment horizontal="center"/>
    </xf>
    <xf numFmtId="0" fontId="48" fillId="16" borderId="0" xfId="0" applyFont="1" applyFill="1" applyAlignment="1">
      <alignment horizontal="center" vertical="center"/>
    </xf>
    <xf numFmtId="0" fontId="48" fillId="13" borderId="0" xfId="0" applyFont="1" applyFill="1" applyAlignment="1">
      <alignment horizontal="center"/>
    </xf>
    <xf numFmtId="0" fontId="48" fillId="13" borderId="0" xfId="0" applyFont="1" applyFill="1" applyAlignment="1">
      <alignment horizontal="center" vertical="center"/>
    </xf>
    <xf numFmtId="0" fontId="48" fillId="2" borderId="0" xfId="0" applyFont="1" applyFill="1" applyAlignment="1">
      <alignment horizontal="centerContinuous"/>
    </xf>
    <xf numFmtId="0" fontId="108" fillId="2" borderId="0" xfId="0" applyFont="1" applyFill="1" applyAlignment="1">
      <alignment horizontal="centerContinuous"/>
    </xf>
    <xf numFmtId="0" fontId="48" fillId="2" borderId="0" xfId="0" applyFont="1" applyFill="1" applyAlignment="1">
      <alignment horizontal="centerContinuous" vertical="center"/>
    </xf>
    <xf numFmtId="0" fontId="48" fillId="17" borderId="0" xfId="0" applyFont="1" applyFill="1"/>
    <xf numFmtId="0" fontId="108" fillId="0" borderId="0" xfId="0" applyFont="1"/>
    <xf numFmtId="0" fontId="48" fillId="0" borderId="0" xfId="0" applyFont="1" applyAlignment="1">
      <alignment horizontal="right"/>
    </xf>
    <xf numFmtId="0" fontId="109" fillId="0" borderId="0" xfId="0" applyFont="1" applyAlignment="1">
      <alignment horizontal="right"/>
    </xf>
    <xf numFmtId="166" fontId="25" fillId="0" borderId="62" xfId="0" applyNumberFormat="1" applyFont="1" applyBorder="1"/>
    <xf numFmtId="0" fontId="21" fillId="0" borderId="0" xfId="0" applyFont="1" applyAlignment="1">
      <alignment horizontal="center"/>
    </xf>
    <xf numFmtId="0" fontId="110" fillId="0" borderId="0" xfId="0" applyFont="1" applyAlignment="1">
      <alignment horizontal="center"/>
    </xf>
    <xf numFmtId="0" fontId="112" fillId="0" borderId="0" xfId="0" applyFont="1"/>
    <xf numFmtId="174" fontId="110" fillId="0" borderId="0" xfId="0" applyNumberFormat="1" applyFont="1" applyAlignment="1">
      <alignment horizontal="center"/>
    </xf>
    <xf numFmtId="0" fontId="25" fillId="0" borderId="68" xfId="0" applyFont="1" applyBorder="1" applyAlignment="1">
      <alignment horizontal="right" shrinkToFit="1"/>
    </xf>
    <xf numFmtId="0" fontId="0" fillId="3" borderId="0" xfId="0" applyFill="1" applyAlignment="1">
      <alignment horizontal="center"/>
    </xf>
    <xf numFmtId="0" fontId="0" fillId="3" borderId="0" xfId="0" applyFill="1"/>
    <xf numFmtId="0" fontId="114" fillId="0" borderId="0" xfId="0" applyFont="1"/>
    <xf numFmtId="0" fontId="21" fillId="0" borderId="0" xfId="0" applyFont="1"/>
    <xf numFmtId="0" fontId="0" fillId="0" borderId="28" xfId="0" applyBorder="1"/>
    <xf numFmtId="0" fontId="19" fillId="0" borderId="28" xfId="0" applyFont="1" applyBorder="1"/>
    <xf numFmtId="0" fontId="0" fillId="22" borderId="24" xfId="0" applyFill="1" applyBorder="1"/>
    <xf numFmtId="0" fontId="25" fillId="17" borderId="0" xfId="0" applyFont="1" applyFill="1" applyAlignment="1">
      <alignment horizontal="center"/>
    </xf>
    <xf numFmtId="0" fontId="25" fillId="6" borderId="0" xfId="0" applyFont="1" applyFill="1" applyAlignment="1">
      <alignment horizontal="center"/>
    </xf>
    <xf numFmtId="0" fontId="25" fillId="18" borderId="0" xfId="0" applyFont="1" applyFill="1" applyAlignment="1">
      <alignment horizontal="center"/>
    </xf>
    <xf numFmtId="0" fontId="25" fillId="14" borderId="0" xfId="0" applyFont="1" applyFill="1" applyAlignment="1">
      <alignment horizontal="center"/>
    </xf>
    <xf numFmtId="0" fontId="25" fillId="15" borderId="0" xfId="0" applyFont="1" applyFill="1" applyAlignment="1">
      <alignment horizontal="center"/>
    </xf>
    <xf numFmtId="0" fontId="25" fillId="19" borderId="0" xfId="0" applyFont="1" applyFill="1" applyAlignment="1">
      <alignment horizontal="center"/>
    </xf>
    <xf numFmtId="0" fontId="25" fillId="16" borderId="0" xfId="0" applyFont="1" applyFill="1" applyAlignment="1">
      <alignment horizontal="center"/>
    </xf>
    <xf numFmtId="0" fontId="25" fillId="13" borderId="0" xfId="0" applyFont="1" applyFill="1" applyAlignment="1">
      <alignment horizontal="center"/>
    </xf>
    <xf numFmtId="0" fontId="115" fillId="2" borderId="0" xfId="0" applyFont="1" applyFill="1" applyAlignment="1">
      <alignment horizontal="centerContinuous"/>
    </xf>
    <xf numFmtId="0" fontId="25" fillId="19" borderId="0" xfId="0" applyFont="1" applyFill="1" applyAlignment="1">
      <alignment horizontal="center" vertical="top" textRotation="90"/>
    </xf>
    <xf numFmtId="0" fontId="25" fillId="2" borderId="0" xfId="0" applyFont="1" applyFill="1" applyAlignment="1">
      <alignment horizontal="centerContinuous" vertical="top"/>
    </xf>
    <xf numFmtId="0" fontId="25" fillId="16" borderId="0" xfId="0" applyFont="1" applyFill="1" applyAlignment="1">
      <alignment horizontal="center" vertical="top" textRotation="90"/>
    </xf>
    <xf numFmtId="0" fontId="25" fillId="17" borderId="0" xfId="0" applyFont="1" applyFill="1" applyAlignment="1">
      <alignment horizontal="center" textRotation="90" shrinkToFit="1"/>
    </xf>
    <xf numFmtId="0" fontId="25" fillId="6" borderId="0" xfId="0" applyFont="1" applyFill="1" applyAlignment="1">
      <alignment horizontal="center" textRotation="90" shrinkToFit="1"/>
    </xf>
    <xf numFmtId="0" fontId="25" fillId="18" borderId="0" xfId="0" applyFont="1" applyFill="1" applyAlignment="1">
      <alignment horizontal="center" textRotation="90" shrinkToFit="1"/>
    </xf>
    <xf numFmtId="0" fontId="25" fillId="14" borderId="0" xfId="0" applyFont="1" applyFill="1" applyAlignment="1">
      <alignment horizontal="center" textRotation="90" shrinkToFit="1"/>
    </xf>
    <xf numFmtId="0" fontId="25" fillId="15" borderId="0" xfId="0" applyFont="1" applyFill="1" applyAlignment="1">
      <alignment horizontal="center" textRotation="90" shrinkToFit="1"/>
    </xf>
    <xf numFmtId="0" fontId="25" fillId="19" borderId="0" xfId="0" applyFont="1" applyFill="1" applyAlignment="1">
      <alignment horizontal="center" textRotation="90" wrapText="1" shrinkToFit="1"/>
    </xf>
    <xf numFmtId="0" fontId="25" fillId="19" borderId="0" xfId="0" applyFont="1" applyFill="1" applyAlignment="1">
      <alignment horizontal="center" textRotation="90" shrinkToFit="1"/>
    </xf>
    <xf numFmtId="0" fontId="25" fillId="16" borderId="0" xfId="0" applyFont="1" applyFill="1" applyAlignment="1">
      <alignment horizontal="center" textRotation="90" shrinkToFit="1"/>
    </xf>
    <xf numFmtId="0" fontId="25" fillId="13" borderId="0" xfId="0" applyFont="1" applyFill="1" applyAlignment="1">
      <alignment horizontal="center" vertical="top" textRotation="90" shrinkToFit="1"/>
    </xf>
    <xf numFmtId="0" fontId="115" fillId="2" borderId="0" xfId="0" applyFont="1" applyFill="1" applyAlignment="1">
      <alignment horizontal="centerContinuous" vertical="center"/>
    </xf>
    <xf numFmtId="0" fontId="48" fillId="0" borderId="56" xfId="0" applyFont="1" applyBorder="1" applyAlignment="1">
      <alignment horizontal="left" vertical="center" wrapText="1"/>
    </xf>
    <xf numFmtId="0" fontId="116" fillId="0" borderId="0" xfId="0" applyFont="1"/>
    <xf numFmtId="0" fontId="48" fillId="0" borderId="0" xfId="0" applyFont="1" applyAlignment="1">
      <alignment horizontal="right" vertical="center"/>
    </xf>
    <xf numFmtId="0" fontId="16" fillId="0" borderId="69" xfId="0" applyFont="1" applyBorder="1"/>
    <xf numFmtId="0" fontId="117" fillId="0" borderId="0" xfId="0" applyFont="1" applyAlignment="1">
      <alignment horizontal="centerContinuous"/>
    </xf>
    <xf numFmtId="0" fontId="108" fillId="0" borderId="0" xfId="0" applyFont="1" applyAlignment="1">
      <alignment horizontal="right" vertical="center"/>
    </xf>
    <xf numFmtId="0" fontId="16" fillId="29" borderId="0" xfId="0" applyFont="1" applyFill="1" applyAlignment="1" applyProtection="1">
      <alignment vertical="center"/>
      <protection locked="0"/>
    </xf>
    <xf numFmtId="0" fontId="27" fillId="0" borderId="0" xfId="0" applyFont="1" applyAlignment="1">
      <alignment vertical="top" wrapText="1"/>
    </xf>
    <xf numFmtId="0" fontId="27" fillId="0" borderId="0" xfId="0" applyFont="1" applyAlignment="1">
      <alignment horizontal="center" vertical="top" wrapText="1"/>
    </xf>
    <xf numFmtId="0" fontId="0" fillId="11" borderId="0" xfId="0" applyFill="1" applyAlignment="1">
      <alignment horizontal="center"/>
    </xf>
    <xf numFmtId="0" fontId="0" fillId="5" borderId="0" xfId="0" applyFill="1" applyAlignment="1">
      <alignment horizontal="center"/>
    </xf>
    <xf numFmtId="0" fontId="0" fillId="27" borderId="0" xfId="0" applyFill="1" applyAlignment="1">
      <alignment horizontal="center"/>
    </xf>
    <xf numFmtId="166" fontId="43" fillId="0" borderId="0" xfId="0" applyNumberFormat="1" applyFont="1"/>
    <xf numFmtId="0" fontId="16" fillId="31" borderId="0" xfId="0" applyFont="1" applyFill="1" applyAlignment="1" applyProtection="1">
      <alignment horizontal="center" vertical="center"/>
      <protection locked="0"/>
    </xf>
    <xf numFmtId="0" fontId="25" fillId="31" borderId="0" xfId="0" applyFont="1" applyFill="1" applyAlignment="1" applyProtection="1">
      <alignment horizontal="center" vertical="center"/>
      <protection locked="0"/>
    </xf>
    <xf numFmtId="49" fontId="0" fillId="22" borderId="0" xfId="0" applyNumberFormat="1" applyFill="1" applyAlignment="1" applyProtection="1">
      <alignment horizontal="left" shrinkToFit="1"/>
      <protection locked="0"/>
    </xf>
    <xf numFmtId="0" fontId="0" fillId="22" borderId="26" xfId="0" applyFill="1" applyBorder="1" applyAlignment="1" applyProtection="1">
      <alignment horizontal="left" shrinkToFit="1"/>
      <protection locked="0"/>
    </xf>
    <xf numFmtId="0" fontId="0" fillId="22" borderId="0" xfId="0" applyFill="1" applyAlignment="1" applyProtection="1">
      <alignment horizontal="left"/>
      <protection locked="0"/>
    </xf>
    <xf numFmtId="0" fontId="25" fillId="20" borderId="0" xfId="4" applyFont="1" applyFill="1" applyBorder="1" applyAlignment="1" applyProtection="1">
      <alignment vertical="center"/>
    </xf>
    <xf numFmtId="0" fontId="41" fillId="20" borderId="0" xfId="4" applyFill="1" applyBorder="1" applyAlignment="1" applyProtection="1">
      <alignment vertical="center"/>
    </xf>
    <xf numFmtId="0" fontId="0" fillId="0" borderId="0" xfId="0" applyAlignment="1">
      <alignment wrapText="1" shrinkToFit="1"/>
    </xf>
    <xf numFmtId="0" fontId="39" fillId="0" borderId="0" xfId="0" applyFont="1" applyAlignment="1">
      <alignment wrapText="1"/>
    </xf>
    <xf numFmtId="0" fontId="16" fillId="0" borderId="0" xfId="0" applyFont="1" applyAlignment="1">
      <alignment vertical="top" wrapText="1"/>
    </xf>
    <xf numFmtId="0" fontId="16" fillId="0" borderId="0" xfId="0" applyFont="1" applyAlignment="1">
      <alignment vertical="top"/>
    </xf>
    <xf numFmtId="0" fontId="86" fillId="0" borderId="0" xfId="0" applyFont="1" applyAlignment="1">
      <alignment vertical="center" wrapText="1"/>
    </xf>
    <xf numFmtId="0" fontId="25" fillId="19" borderId="0" xfId="0" applyFont="1" applyFill="1" applyAlignment="1">
      <alignment horizontal="center" vertical="top" textRotation="90" shrinkToFit="1"/>
    </xf>
    <xf numFmtId="0" fontId="25" fillId="13" borderId="0" xfId="0" applyFont="1" applyFill="1" applyAlignment="1">
      <alignment horizontal="center" textRotation="90" shrinkToFit="1"/>
    </xf>
    <xf numFmtId="0" fontId="25" fillId="17" borderId="0" xfId="0" applyFont="1" applyFill="1" applyAlignment="1">
      <alignment horizontal="center" vertical="top" textRotation="90" shrinkToFit="1"/>
    </xf>
    <xf numFmtId="0" fontId="25" fillId="16" borderId="0" xfId="0" applyFont="1" applyFill="1" applyAlignment="1">
      <alignment horizontal="center" vertical="top" textRotation="90" shrinkToFit="1"/>
    </xf>
    <xf numFmtId="0" fontId="25" fillId="17" borderId="0" xfId="0" applyFont="1" applyFill="1" applyAlignment="1">
      <alignment horizontal="center" vertical="top" textRotation="90"/>
    </xf>
    <xf numFmtId="0" fontId="25" fillId="18"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39" fillId="32" borderId="0" xfId="0" applyFont="1" applyFill="1"/>
    <xf numFmtId="0" fontId="125" fillId="0" borderId="0" xfId="0" applyFont="1"/>
    <xf numFmtId="0" fontId="19" fillId="0" borderId="0" xfId="0" applyFont="1" applyProtection="1">
      <protection locked="0"/>
    </xf>
    <xf numFmtId="0" fontId="39" fillId="33" borderId="0" xfId="0" applyFont="1" applyFill="1"/>
    <xf numFmtId="0" fontId="39" fillId="34" borderId="0" xfId="0" applyFont="1" applyFill="1"/>
    <xf numFmtId="0" fontId="55" fillId="21" borderId="28" xfId="0" applyFont="1" applyFill="1" applyBorder="1" applyAlignment="1">
      <alignment horizontal="left"/>
    </xf>
    <xf numFmtId="49" fontId="0" fillId="22" borderId="28" xfId="0" applyNumberFormat="1" applyFill="1" applyBorder="1" applyAlignment="1" applyProtection="1">
      <alignment horizontal="left" shrinkToFit="1"/>
      <protection locked="0"/>
    </xf>
    <xf numFmtId="49" fontId="0" fillId="22" borderId="28" xfId="0" applyNumberFormat="1" applyFill="1" applyBorder="1"/>
    <xf numFmtId="49" fontId="0" fillId="22" borderId="29" xfId="0" applyNumberFormat="1" applyFill="1" applyBorder="1"/>
    <xf numFmtId="0" fontId="39" fillId="31" borderId="0" xfId="0" applyFont="1" applyFill="1" applyAlignment="1">
      <alignment horizontal="left"/>
    </xf>
    <xf numFmtId="0" fontId="39" fillId="31" borderId="0" xfId="0" applyFont="1" applyFill="1"/>
    <xf numFmtId="164" fontId="39" fillId="0" borderId="0" xfId="0" applyNumberFormat="1" applyFont="1"/>
    <xf numFmtId="2" fontId="0" fillId="0" borderId="0" xfId="0" applyNumberFormat="1"/>
    <xf numFmtId="0" fontId="0" fillId="0" borderId="0" xfId="0" applyAlignment="1" applyProtection="1">
      <alignment horizontal="left"/>
      <protection locked="0"/>
    </xf>
    <xf numFmtId="0" fontId="0" fillId="0" borderId="0" xfId="0" applyAlignment="1" applyProtection="1">
      <alignment horizontal="right" indent="1"/>
      <protection locked="0"/>
    </xf>
    <xf numFmtId="2" fontId="17" fillId="0" borderId="0" xfId="0" applyNumberFormat="1" applyFont="1"/>
    <xf numFmtId="0" fontId="114" fillId="7" borderId="0" xfId="0" applyFont="1" applyFill="1" applyAlignment="1">
      <alignment horizontal="center"/>
    </xf>
    <xf numFmtId="0" fontId="117" fillId="8" borderId="0" xfId="0" applyFont="1" applyFill="1" applyAlignment="1">
      <alignment horizontal="center"/>
    </xf>
    <xf numFmtId="0" fontId="11" fillId="0" borderId="0" xfId="0" applyFont="1" applyAlignment="1">
      <alignment wrapText="1"/>
    </xf>
    <xf numFmtId="0" fontId="127" fillId="0" borderId="0" xfId="0" applyFont="1" applyAlignment="1">
      <alignment horizontal="right" wrapText="1"/>
    </xf>
    <xf numFmtId="0" fontId="127" fillId="0" borderId="0" xfId="0" applyFont="1" applyAlignment="1">
      <alignment horizontal="centerContinuous" wrapText="1"/>
    </xf>
    <xf numFmtId="0" fontId="127"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Continuous" wrapText="1"/>
    </xf>
    <xf numFmtId="0" fontId="97" fillId="0" borderId="0" xfId="0" applyFont="1"/>
    <xf numFmtId="0" fontId="11" fillId="0" borderId="0" xfId="0" applyFont="1" applyAlignment="1">
      <alignment horizontal="center" vertical="top" wrapText="1"/>
    </xf>
    <xf numFmtId="0" fontId="11" fillId="0" borderId="0" xfId="0" applyFont="1" applyAlignment="1">
      <alignment horizontal="center" vertical="top"/>
    </xf>
    <xf numFmtId="0" fontId="96" fillId="0" borderId="0" xfId="0" applyFont="1"/>
    <xf numFmtId="0" fontId="128" fillId="0" borderId="0" xfId="0" applyFont="1"/>
    <xf numFmtId="0" fontId="96" fillId="0" borderId="0" xfId="0" applyFont="1" applyAlignment="1">
      <alignment horizontal="center" vertical="center"/>
    </xf>
    <xf numFmtId="0" fontId="96" fillId="0" borderId="0" xfId="0" applyFont="1" applyAlignment="1">
      <alignment horizontal="center" vertical="center" wrapText="1"/>
    </xf>
    <xf numFmtId="0" fontId="96" fillId="0" borderId="0" xfId="0" applyFont="1" applyAlignment="1">
      <alignment horizontal="center"/>
    </xf>
    <xf numFmtId="0" fontId="96" fillId="0" borderId="0" xfId="0" applyFont="1" applyAlignment="1">
      <alignment horizontal="left"/>
    </xf>
    <xf numFmtId="0" fontId="96" fillId="0" borderId="0" xfId="0" applyFont="1" applyAlignment="1">
      <alignment vertical="center"/>
    </xf>
    <xf numFmtId="0" fontId="128" fillId="0" borderId="0" xfId="0" applyFont="1" applyAlignment="1">
      <alignment vertical="center"/>
    </xf>
    <xf numFmtId="1" fontId="96" fillId="0" borderId="0" xfId="0" applyNumberFormat="1" applyFont="1" applyAlignment="1">
      <alignment horizontal="center" vertical="center"/>
    </xf>
    <xf numFmtId="0" fontId="96"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top"/>
    </xf>
    <xf numFmtId="1" fontId="0" fillId="0" borderId="0" xfId="0" applyNumberFormat="1" applyAlignment="1">
      <alignment horizontal="center"/>
    </xf>
    <xf numFmtId="174" fontId="0" fillId="0" borderId="0" xfId="0" applyNumberFormat="1" applyAlignment="1">
      <alignment horizontal="center"/>
    </xf>
    <xf numFmtId="0" fontId="129" fillId="21" borderId="0" xfId="0" applyFont="1" applyFill="1"/>
    <xf numFmtId="0" fontId="37" fillId="35" borderId="0" xfId="0" applyFont="1" applyFill="1"/>
    <xf numFmtId="0" fontId="45" fillId="35" borderId="17" xfId="0" applyFont="1" applyFill="1" applyBorder="1" applyAlignment="1">
      <alignment vertical="top"/>
    </xf>
    <xf numFmtId="0" fontId="8" fillId="35" borderId="0" xfId="0" applyFont="1" applyFill="1" applyAlignment="1">
      <alignment vertical="top"/>
    </xf>
    <xf numFmtId="166" fontId="11" fillId="35" borderId="11" xfId="0" applyNumberFormat="1" applyFont="1" applyFill="1" applyBorder="1" applyAlignment="1">
      <alignment horizontal="right" vertical="center" shrinkToFit="1"/>
    </xf>
    <xf numFmtId="0" fontId="37" fillId="35" borderId="0" xfId="0" applyFont="1" applyFill="1" applyAlignment="1">
      <alignment wrapText="1"/>
    </xf>
    <xf numFmtId="0" fontId="43" fillId="35" borderId="0" xfId="0" applyFont="1" applyFill="1"/>
    <xf numFmtId="0" fontId="2" fillId="0" borderId="0" xfId="0" applyFont="1" applyAlignment="1">
      <alignment vertical="center"/>
    </xf>
    <xf numFmtId="0" fontId="129" fillId="21" borderId="0" xfId="0" applyFont="1" applyFill="1" applyAlignment="1">
      <alignment vertical="top"/>
    </xf>
    <xf numFmtId="0" fontId="1" fillId="0" borderId="0" xfId="0" applyFont="1" applyAlignment="1">
      <alignment vertical="center"/>
    </xf>
    <xf numFmtId="0" fontId="13" fillId="0" borderId="0" xfId="0" applyFont="1" applyAlignment="1">
      <alignment horizontal="center" wrapText="1"/>
    </xf>
    <xf numFmtId="0" fontId="29" fillId="0" borderId="0" xfId="0" applyFont="1" applyAlignment="1">
      <alignment horizontal="center" vertical="center"/>
    </xf>
    <xf numFmtId="1" fontId="29" fillId="0" borderId="0" xfId="0" applyNumberFormat="1" applyFont="1" applyAlignment="1">
      <alignment horizontal="center" vertical="center"/>
    </xf>
    <xf numFmtId="0" fontId="29" fillId="3" borderId="0" xfId="0" applyFont="1" applyFill="1" applyAlignment="1">
      <alignment horizontal="center" vertical="center" wrapText="1"/>
    </xf>
    <xf numFmtId="0" fontId="29" fillId="0" borderId="0" xfId="0" applyFont="1" applyAlignment="1">
      <alignment horizontal="center" vertical="center" wrapText="1"/>
    </xf>
    <xf numFmtId="1" fontId="130" fillId="0" borderId="0" xfId="0" applyNumberFormat="1" applyFont="1" applyAlignment="1">
      <alignment horizontal="center" vertical="center"/>
    </xf>
    <xf numFmtId="1" fontId="29" fillId="3" borderId="0" xfId="0" applyNumberFormat="1" applyFont="1" applyFill="1" applyAlignment="1">
      <alignment horizontal="center" vertical="center"/>
    </xf>
    <xf numFmtId="2" fontId="28" fillId="0" borderId="0" xfId="0" applyNumberFormat="1" applyFont="1" applyAlignment="1">
      <alignment horizontal="center" vertical="center"/>
    </xf>
    <xf numFmtId="1" fontId="96" fillId="3" borderId="0" xfId="0" applyNumberFormat="1" applyFont="1" applyFill="1" applyAlignment="1">
      <alignment horizontal="center" vertical="center"/>
    </xf>
    <xf numFmtId="0" fontId="11" fillId="3" borderId="0" xfId="0" applyFont="1" applyFill="1" applyAlignment="1">
      <alignment horizontal="center" vertical="top" wrapText="1"/>
    </xf>
    <xf numFmtId="0" fontId="22" fillId="3" borderId="0" xfId="0" applyFont="1" applyFill="1" applyAlignment="1">
      <alignment horizontal="center"/>
    </xf>
    <xf numFmtId="174" fontId="107" fillId="0" borderId="0" xfId="0" applyNumberFormat="1" applyFont="1" applyAlignment="1">
      <alignment horizontal="center"/>
    </xf>
    <xf numFmtId="1" fontId="107" fillId="0" borderId="0" xfId="0" applyNumberFormat="1" applyFont="1" applyAlignment="1">
      <alignment horizontal="center"/>
    </xf>
    <xf numFmtId="1" fontId="107" fillId="3" borderId="0" xfId="0" applyNumberFormat="1" applyFont="1" applyFill="1" applyAlignment="1">
      <alignment horizontal="center"/>
    </xf>
    <xf numFmtId="0" fontId="107" fillId="0" borderId="0" xfId="0" applyFont="1" applyAlignment="1">
      <alignment horizontal="center"/>
    </xf>
    <xf numFmtId="0" fontId="107" fillId="3" borderId="0" xfId="0" applyFont="1" applyFill="1" applyAlignment="1">
      <alignment horizontal="center"/>
    </xf>
    <xf numFmtId="175" fontId="17" fillId="0" borderId="0" xfId="0" applyNumberFormat="1" applyFont="1"/>
    <xf numFmtId="0" fontId="131" fillId="0" borderId="0" xfId="0" applyFont="1"/>
    <xf numFmtId="0" fontId="16" fillId="5" borderId="0" xfId="0" applyFont="1" applyFill="1" applyAlignment="1" applyProtection="1">
      <alignment vertical="center"/>
      <protection locked="0"/>
    </xf>
    <xf numFmtId="0" fontId="94" fillId="0" borderId="0" xfId="0" applyFont="1" applyAlignment="1" applyProtection="1">
      <alignment vertical="center"/>
      <protection locked="0"/>
    </xf>
    <xf numFmtId="0" fontId="16" fillId="36" borderId="0" xfId="0" applyFont="1" applyFill="1" applyAlignment="1" applyProtection="1">
      <alignment vertical="center"/>
      <protection locked="0"/>
    </xf>
    <xf numFmtId="0" fontId="132" fillId="36" borderId="0" xfId="0" applyFont="1" applyFill="1" applyAlignment="1" applyProtection="1">
      <alignment vertical="center"/>
      <protection locked="0"/>
    </xf>
    <xf numFmtId="0" fontId="16" fillId="37" borderId="0" xfId="0" applyFont="1" applyFill="1" applyAlignment="1" applyProtection="1">
      <alignment vertical="center"/>
      <protection locked="0"/>
    </xf>
    <xf numFmtId="0" fontId="16" fillId="34" borderId="0" xfId="0" applyFont="1" applyFill="1" applyAlignment="1" applyProtection="1">
      <alignment vertical="center"/>
      <protection locked="0"/>
    </xf>
    <xf numFmtId="0" fontId="39" fillId="38" borderId="0" xfId="0" applyFont="1" applyFill="1"/>
    <xf numFmtId="0" fontId="39" fillId="33" borderId="0" xfId="0" applyFont="1" applyFill="1" applyAlignment="1">
      <alignment wrapText="1"/>
    </xf>
    <xf numFmtId="0" fontId="39" fillId="40" borderId="0" xfId="0" applyFont="1" applyFill="1"/>
    <xf numFmtId="0" fontId="39" fillId="28" borderId="0" xfId="0" applyFont="1" applyFill="1"/>
    <xf numFmtId="0" fontId="39" fillId="11" borderId="0" xfId="0" applyFont="1" applyFill="1"/>
    <xf numFmtId="0" fontId="39" fillId="13" borderId="0" xfId="0" applyFont="1" applyFill="1"/>
    <xf numFmtId="0" fontId="39" fillId="41" borderId="0" xfId="0" applyFont="1" applyFill="1"/>
    <xf numFmtId="0" fontId="39" fillId="42" borderId="0" xfId="0" applyFont="1" applyFill="1"/>
    <xf numFmtId="0" fontId="39" fillId="43" borderId="0" xfId="0" applyFont="1" applyFill="1"/>
    <xf numFmtId="0" fontId="39" fillId="43" borderId="0" xfId="0" applyFont="1" applyFill="1" applyAlignment="1">
      <alignment wrapText="1"/>
    </xf>
    <xf numFmtId="2" fontId="39" fillId="0" borderId="0" xfId="0" applyNumberFormat="1" applyFont="1"/>
    <xf numFmtId="2" fontId="39" fillId="40" borderId="0" xfId="0" applyNumberFormat="1" applyFont="1" applyFill="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20" borderId="0" xfId="0" applyFill="1" applyAlignment="1" applyProtection="1">
      <alignment horizontal="center"/>
      <protection locked="0"/>
    </xf>
    <xf numFmtId="0" fontId="0" fillId="0" borderId="5" xfId="0" applyBorder="1" applyProtection="1">
      <protection locked="0"/>
    </xf>
    <xf numFmtId="0" fontId="11" fillId="20" borderId="0" xfId="0" applyFont="1" applyFill="1" applyAlignment="1">
      <alignment horizontal="right" shrinkToFit="1"/>
    </xf>
    <xf numFmtId="0" fontId="11" fillId="20" borderId="0" xfId="0" applyFont="1" applyFill="1" applyAlignment="1" applyProtection="1">
      <alignment horizontal="right"/>
      <protection locked="0"/>
    </xf>
    <xf numFmtId="0" fontId="0" fillId="20" borderId="0" xfId="0" applyFill="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35" fillId="0" borderId="0" xfId="0" applyFont="1"/>
    <xf numFmtId="0" fontId="48" fillId="0" borderId="0" xfId="0" applyFont="1" applyAlignment="1">
      <alignment horizontal="left"/>
    </xf>
    <xf numFmtId="0" fontId="16" fillId="0" borderId="0" xfId="0" applyFont="1" applyAlignment="1" applyProtection="1">
      <alignment horizontal="right" vertical="center"/>
      <protection locked="0"/>
    </xf>
    <xf numFmtId="0" fontId="136" fillId="0" borderId="0" xfId="0" applyFont="1" applyAlignment="1">
      <alignment horizontal="right" vertical="top"/>
    </xf>
    <xf numFmtId="0" fontId="136" fillId="0" borderId="0" xfId="0" applyFont="1" applyAlignment="1">
      <alignment horizontal="justify" vertical="top" wrapText="1"/>
    </xf>
    <xf numFmtId="0" fontId="137" fillId="0" borderId="0" xfId="0" applyFont="1"/>
    <xf numFmtId="0" fontId="137" fillId="0" borderId="0" xfId="0" applyFont="1" applyAlignment="1">
      <alignment horizontal="right"/>
    </xf>
    <xf numFmtId="0" fontId="39" fillId="37" borderId="0" xfId="0" applyFont="1" applyFill="1"/>
    <xf numFmtId="0" fontId="39" fillId="39" borderId="0" xfId="0" applyFont="1" applyFill="1"/>
    <xf numFmtId="0" fontId="39" fillId="44" borderId="0" xfId="0" applyFont="1" applyFill="1"/>
    <xf numFmtId="0" fontId="138" fillId="0" borderId="0" xfId="0" applyFont="1"/>
    <xf numFmtId="0" fontId="138" fillId="37" borderId="0" xfId="0" applyFont="1" applyFill="1"/>
    <xf numFmtId="2" fontId="39" fillId="44" borderId="0" xfId="0" applyNumberFormat="1" applyFont="1" applyFill="1" applyAlignment="1">
      <alignment wrapText="1"/>
    </xf>
    <xf numFmtId="0" fontId="17" fillId="0" borderId="0" xfId="0" applyFont="1" applyAlignment="1" applyProtection="1">
      <alignment horizontal="center" vertical="center"/>
      <protection locked="0"/>
    </xf>
    <xf numFmtId="0" fontId="39" fillId="45" borderId="0" xfId="0" applyFont="1" applyFill="1"/>
    <xf numFmtId="0" fontId="39" fillId="45" borderId="0" xfId="0" applyFont="1" applyFill="1" applyAlignment="1">
      <alignment wrapText="1"/>
    </xf>
    <xf numFmtId="9" fontId="16" fillId="0" borderId="0" xfId="2" applyFont="1" applyAlignment="1" applyProtection="1">
      <alignment horizontal="center"/>
      <protection locked="0"/>
    </xf>
    <xf numFmtId="0" fontId="39" fillId="24" borderId="0" xfId="0" applyFont="1" applyFill="1"/>
    <xf numFmtId="0" fontId="124" fillId="0" borderId="52" xfId="0" applyFont="1" applyBorder="1" applyAlignment="1">
      <alignment horizontal="left" vertical="top" wrapText="1"/>
    </xf>
    <xf numFmtId="0" fontId="0" fillId="22" borderId="0" xfId="0" applyFill="1" applyAlignment="1" applyProtection="1">
      <alignment horizontal="left" shrinkToFit="1"/>
      <protection locked="0"/>
    </xf>
    <xf numFmtId="0" fontId="0" fillId="22" borderId="28" xfId="0" applyFill="1" applyBorder="1" applyAlignment="1" applyProtection="1">
      <alignment horizontal="left" shrinkToFit="1"/>
      <protection locked="0"/>
    </xf>
    <xf numFmtId="0" fontId="0" fillId="21" borderId="0" xfId="0" applyFill="1" applyAlignment="1">
      <alignment horizontal="left" vertical="center"/>
    </xf>
    <xf numFmtId="0" fontId="57" fillId="21" borderId="30" xfId="0" applyFont="1" applyFill="1" applyBorder="1" applyAlignment="1">
      <alignment horizontal="center" vertical="center"/>
    </xf>
    <xf numFmtId="0" fontId="57" fillId="21" borderId="31" xfId="0" applyFont="1" applyFill="1" applyBorder="1" applyAlignment="1">
      <alignment horizontal="center" vertical="center"/>
    </xf>
    <xf numFmtId="0" fontId="57" fillId="21" borderId="32" xfId="0" applyFont="1" applyFill="1" applyBorder="1" applyAlignment="1">
      <alignment horizontal="center" vertical="center"/>
    </xf>
    <xf numFmtId="0" fontId="0" fillId="0" borderId="0" xfId="0" applyAlignment="1">
      <alignment horizontal="center" vertical="top" wrapText="1"/>
    </xf>
    <xf numFmtId="0" fontId="25" fillId="21" borderId="0" xfId="0" applyFont="1" applyFill="1" applyAlignment="1">
      <alignment horizontal="left"/>
    </xf>
    <xf numFmtId="49" fontId="0" fillId="22" borderId="0" xfId="0" applyNumberFormat="1" applyFill="1" applyAlignment="1" applyProtection="1">
      <alignment horizontal="left" shrinkToFit="1"/>
      <protection locked="0"/>
    </xf>
    <xf numFmtId="0" fontId="0" fillId="0" borderId="0" xfId="0" applyAlignment="1">
      <alignment horizontal="left" shrinkToFit="1"/>
    </xf>
    <xf numFmtId="0" fontId="0" fillId="22" borderId="0" xfId="0" applyFill="1" applyAlignment="1" applyProtection="1">
      <alignment horizontal="left" shrinkToFit="1"/>
      <protection locked="0" hidden="1"/>
    </xf>
    <xf numFmtId="0" fontId="91" fillId="0" borderId="0" xfId="0" applyFont="1" applyAlignment="1">
      <alignment horizontal="left" vertical="top" wrapText="1"/>
    </xf>
    <xf numFmtId="0" fontId="37" fillId="0" borderId="17" xfId="0" applyFont="1" applyBorder="1" applyAlignment="1">
      <alignment horizontal="left" shrinkToFit="1"/>
    </xf>
    <xf numFmtId="0" fontId="37" fillId="0" borderId="0" xfId="0" applyFont="1" applyAlignment="1">
      <alignment horizontal="left" shrinkToFit="1"/>
    </xf>
    <xf numFmtId="0" fontId="37" fillId="0" borderId="0" xfId="0" applyFont="1" applyAlignment="1">
      <alignment horizontal="center"/>
    </xf>
    <xf numFmtId="0" fontId="37" fillId="0" borderId="11" xfId="0" applyFont="1" applyBorder="1" applyAlignment="1">
      <alignment horizontal="center"/>
    </xf>
    <xf numFmtId="0" fontId="89" fillId="0" borderId="0" xfId="0" applyFont="1" applyAlignment="1">
      <alignment horizontal="justify" vertical="top" wrapText="1"/>
    </xf>
    <xf numFmtId="0" fontId="43" fillId="0" borderId="20" xfId="0" applyFont="1" applyBorder="1" applyAlignment="1">
      <alignment horizontal="center" shrinkToFit="1"/>
    </xf>
    <xf numFmtId="0" fontId="43" fillId="0" borderId="12" xfId="0" applyFont="1" applyBorder="1" applyAlignment="1">
      <alignment horizontal="center" shrinkToFit="1"/>
    </xf>
    <xf numFmtId="0" fontId="134" fillId="0" borderId="0" xfId="0" applyFont="1" applyAlignment="1">
      <alignment horizontal="left" vertical="center"/>
    </xf>
    <xf numFmtId="0" fontId="19" fillId="0" borderId="0" xfId="0" applyFont="1" applyAlignment="1">
      <alignment horizontal="justify" vertical="top" wrapText="1"/>
    </xf>
    <xf numFmtId="0" fontId="45" fillId="0" borderId="0" xfId="0" applyFont="1" applyAlignment="1">
      <alignment horizontal="left" shrinkToFit="1"/>
    </xf>
    <xf numFmtId="176" fontId="45" fillId="21" borderId="0" xfId="0" applyNumberFormat="1" applyFont="1" applyFill="1" applyAlignment="1">
      <alignment horizontal="left" shrinkToFit="1"/>
    </xf>
    <xf numFmtId="172" fontId="45" fillId="21" borderId="0" xfId="0" applyNumberFormat="1" applyFont="1" applyFill="1" applyAlignment="1">
      <alignment horizontal="left" shrinkToFit="1"/>
    </xf>
    <xf numFmtId="0" fontId="48" fillId="0" borderId="0" xfId="0" applyFont="1" applyAlignment="1">
      <alignment horizontal="left"/>
    </xf>
    <xf numFmtId="0" fontId="129" fillId="21" borderId="0" xfId="0" applyFont="1" applyFill="1" applyAlignment="1">
      <alignment horizontal="left" vertical="center"/>
    </xf>
    <xf numFmtId="0" fontId="37" fillId="0" borderId="18" xfId="0" applyFont="1" applyBorder="1" applyAlignment="1">
      <alignment horizontal="left" shrinkToFit="1"/>
    </xf>
    <xf numFmtId="0" fontId="37" fillId="0" borderId="20" xfId="0" applyFont="1" applyBorder="1" applyAlignment="1">
      <alignment horizontal="left" shrinkToFit="1"/>
    </xf>
    <xf numFmtId="0" fontId="3" fillId="21" borderId="0" xfId="0" applyFont="1" applyFill="1" applyAlignment="1">
      <alignment horizontal="left" vertical="center" shrinkToFit="1"/>
    </xf>
    <xf numFmtId="0" fontId="9" fillId="21" borderId="0" xfId="0" applyFont="1" applyFill="1" applyAlignment="1">
      <alignment horizontal="left" vertical="center" shrinkToFit="1"/>
    </xf>
    <xf numFmtId="0" fontId="45" fillId="21" borderId="0" xfId="0" applyFont="1" applyFill="1" applyAlignment="1">
      <alignment horizontal="left"/>
    </xf>
    <xf numFmtId="0" fontId="45" fillId="0" borderId="0" xfId="0" applyFont="1" applyAlignment="1">
      <alignment horizontal="left" vertical="top" wrapText="1"/>
    </xf>
    <xf numFmtId="0" fontId="48" fillId="0" borderId="0" xfId="0" applyFont="1" applyAlignment="1">
      <alignment horizontal="left" shrinkToFit="1"/>
    </xf>
    <xf numFmtId="0" fontId="45" fillId="21" borderId="0" xfId="0" applyFont="1" applyFill="1" applyAlignment="1">
      <alignment horizontal="center" vertical="center" wrapText="1"/>
    </xf>
    <xf numFmtId="0" fontId="37" fillId="0" borderId="19" xfId="0" applyFont="1" applyBorder="1" applyAlignment="1">
      <alignment horizontal="left" shrinkToFit="1"/>
    </xf>
    <xf numFmtId="0" fontId="37" fillId="0" borderId="19" xfId="0" applyFont="1" applyBorder="1" applyAlignment="1">
      <alignment horizontal="center"/>
    </xf>
    <xf numFmtId="0" fontId="36" fillId="0" borderId="0" xfId="0" applyFont="1" applyAlignment="1">
      <alignment shrinkToFit="1"/>
    </xf>
    <xf numFmtId="49" fontId="48" fillId="0" borderId="0" xfId="0" applyNumberFormat="1" applyFont="1" applyAlignment="1">
      <alignment horizontal="left" shrinkToFit="1"/>
    </xf>
    <xf numFmtId="0" fontId="44" fillId="21" borderId="0" xfId="0" applyFont="1" applyFill="1" applyAlignment="1">
      <alignment horizontal="left" shrinkToFit="1"/>
    </xf>
    <xf numFmtId="0" fontId="45" fillId="21" borderId="0" xfId="0" applyFont="1" applyFill="1" applyAlignment="1">
      <alignment horizontal="left" shrinkToFit="1"/>
    </xf>
    <xf numFmtId="0" fontId="43" fillId="0" borderId="20" xfId="0" applyFont="1" applyBorder="1" applyAlignment="1">
      <alignment horizontal="left" shrinkToFit="1"/>
    </xf>
    <xf numFmtId="0" fontId="136" fillId="0" borderId="0" xfId="0" applyFont="1" applyAlignment="1">
      <alignment horizontal="justify" vertical="top" wrapText="1"/>
    </xf>
    <xf numFmtId="0" fontId="89" fillId="0" borderId="0" xfId="0" applyFont="1" applyAlignment="1">
      <alignment horizontal="justify" vertical="top"/>
    </xf>
    <xf numFmtId="0" fontId="37" fillId="0" borderId="0" xfId="0" applyFont="1" applyAlignment="1">
      <alignment vertical="top" wrapText="1"/>
    </xf>
    <xf numFmtId="0" fontId="45" fillId="0" borderId="0" xfId="0" applyFont="1" applyAlignment="1">
      <alignment vertical="top" wrapText="1" shrinkToFit="1"/>
    </xf>
    <xf numFmtId="0" fontId="43" fillId="21" borderId="20" xfId="0" applyFont="1" applyFill="1" applyBorder="1" applyAlignment="1">
      <alignment horizontal="center" vertical="center" wrapText="1"/>
    </xf>
    <xf numFmtId="0" fontId="54" fillId="0" borderId="0" xfId="0" applyFont="1" applyAlignment="1" applyProtection="1">
      <alignment horizontal="left" shrinkToFit="1"/>
      <protection locked="0"/>
    </xf>
    <xf numFmtId="0" fontId="54" fillId="0" borderId="0" xfId="0" applyFont="1" applyAlignment="1">
      <alignment horizontal="left" shrinkToFit="1"/>
    </xf>
    <xf numFmtId="172" fontId="44" fillId="21" borderId="0" xfId="0" applyNumberFormat="1" applyFont="1" applyFill="1" applyAlignment="1">
      <alignment horizontal="left" shrinkToFit="1"/>
    </xf>
    <xf numFmtId="0" fontId="43" fillId="21" borderId="0" xfId="0" applyFont="1" applyFill="1" applyAlignment="1">
      <alignment horizontal="center" vertical="center" wrapText="1"/>
    </xf>
    <xf numFmtId="49" fontId="45" fillId="0" borderId="0" xfId="0" applyNumberFormat="1" applyFont="1" applyAlignment="1">
      <alignment horizontal="left" shrinkToFit="1"/>
    </xf>
    <xf numFmtId="49" fontId="45" fillId="0" borderId="0" xfId="0" applyNumberFormat="1" applyFont="1" applyAlignment="1">
      <alignment horizontal="left"/>
    </xf>
    <xf numFmtId="0" fontId="37" fillId="0" borderId="0" xfId="0" applyFont="1" applyAlignment="1">
      <alignment horizontal="center" shrinkToFit="1"/>
    </xf>
    <xf numFmtId="0" fontId="37" fillId="0" borderId="11" xfId="0" applyFont="1" applyBorder="1" applyAlignment="1">
      <alignment horizontal="center" shrinkToFit="1"/>
    </xf>
    <xf numFmtId="0" fontId="37" fillId="0" borderId="19" xfId="0" applyFont="1" applyBorder="1" applyAlignment="1">
      <alignment horizontal="center" shrinkToFit="1"/>
    </xf>
    <xf numFmtId="0" fontId="37" fillId="0" borderId="10" xfId="0" applyFont="1" applyBorder="1" applyAlignment="1">
      <alignment horizontal="center" shrinkToFit="1"/>
    </xf>
    <xf numFmtId="0" fontId="37" fillId="0" borderId="16" xfId="0" applyFont="1" applyBorder="1" applyAlignment="1">
      <alignment horizontal="left" shrinkToFit="1"/>
    </xf>
    <xf numFmtId="0" fontId="0" fillId="0" borderId="0" xfId="0" applyAlignment="1">
      <alignment horizontal="center"/>
    </xf>
    <xf numFmtId="0" fontId="116" fillId="0" borderId="0" xfId="0" applyFont="1" applyAlignment="1">
      <alignment horizontal="center"/>
    </xf>
    <xf numFmtId="0" fontId="117" fillId="10" borderId="0" xfId="0" applyFont="1" applyFill="1" applyAlignment="1">
      <alignment horizontal="center"/>
    </xf>
    <xf numFmtId="0" fontId="117" fillId="0" borderId="0" xfId="0" applyFont="1" applyAlignment="1">
      <alignment horizontal="center"/>
    </xf>
    <xf numFmtId="0" fontId="117" fillId="9" borderId="0" xfId="0" applyFont="1" applyFill="1" applyAlignment="1">
      <alignment horizontal="center"/>
    </xf>
    <xf numFmtId="0" fontId="117" fillId="3" borderId="0" xfId="0" applyFont="1" applyFill="1" applyAlignment="1">
      <alignment horizontal="center"/>
    </xf>
    <xf numFmtId="0" fontId="86" fillId="0" borderId="52" xfId="0" applyFont="1" applyBorder="1" applyAlignment="1">
      <alignment horizontal="left" vertical="center" wrapText="1"/>
    </xf>
    <xf numFmtId="0" fontId="11" fillId="2" borderId="0" xfId="0" applyFont="1" applyFill="1" applyAlignment="1">
      <alignment horizontal="left" vertical="center" wrapText="1"/>
    </xf>
    <xf numFmtId="0" fontId="11" fillId="2" borderId="54" xfId="0" applyFont="1" applyFill="1" applyBorder="1" applyAlignment="1">
      <alignment horizontal="left" vertical="center" wrapText="1"/>
    </xf>
    <xf numFmtId="0" fontId="42" fillId="0" borderId="0" xfId="0" applyFont="1" applyAlignment="1" applyProtection="1">
      <alignment horizontal="center" vertical="center" wrapText="1"/>
      <protection locked="0"/>
    </xf>
    <xf numFmtId="0" fontId="33" fillId="18" borderId="0" xfId="0" applyFont="1" applyFill="1" applyAlignment="1">
      <alignment horizontal="left" vertical="center"/>
    </xf>
    <xf numFmtId="0" fontId="11" fillId="3" borderId="0" xfId="0" applyFont="1" applyFill="1" applyAlignment="1">
      <alignment horizontal="left" vertical="center"/>
    </xf>
    <xf numFmtId="0" fontId="35" fillId="0" borderId="51" xfId="0" applyFont="1" applyBorder="1" applyAlignment="1">
      <alignment horizontal="left" vertical="top" wrapText="1" indent="1"/>
    </xf>
    <xf numFmtId="0" fontId="124" fillId="0" borderId="52" xfId="0" applyFont="1" applyBorder="1" applyAlignment="1">
      <alignment horizontal="left" vertical="top" wrapText="1"/>
    </xf>
    <xf numFmtId="0" fontId="42" fillId="0" borderId="0" xfId="0" applyFont="1" applyAlignment="1" applyProtection="1">
      <alignment horizontal="center" vertical="center" shrinkToFit="1"/>
      <protection locked="0"/>
    </xf>
    <xf numFmtId="0" fontId="85" fillId="0" borderId="52" xfId="0" applyFont="1" applyBorder="1" applyAlignment="1">
      <alignment horizontal="left" vertical="center" wrapText="1"/>
    </xf>
    <xf numFmtId="0" fontId="85" fillId="0" borderId="37" xfId="0" applyFont="1" applyBorder="1" applyAlignment="1">
      <alignment horizontal="left" vertical="top" wrapText="1"/>
    </xf>
    <xf numFmtId="0" fontId="86" fillId="0" borderId="0" xfId="0" applyFont="1" applyAlignment="1">
      <alignment horizontal="left" wrapText="1"/>
    </xf>
    <xf numFmtId="0" fontId="40" fillId="0" borderId="0" xfId="0" applyFont="1" applyAlignment="1">
      <alignment horizontal="left" vertical="top" wrapText="1" indent="1"/>
    </xf>
    <xf numFmtId="0" fontId="85" fillId="0" borderId="37" xfId="0" applyFont="1" applyBorder="1" applyAlignment="1">
      <alignment horizontal="left" vertical="center" wrapText="1"/>
    </xf>
    <xf numFmtId="0" fontId="42" fillId="0" borderId="52" xfId="0" applyFont="1" applyBorder="1" applyAlignment="1" applyProtection="1">
      <alignment horizontal="center" vertical="center" shrinkToFit="1"/>
      <protection locked="0"/>
    </xf>
    <xf numFmtId="0" fontId="33" fillId="19" borderId="0" xfId="0" applyFont="1" applyFill="1" applyAlignment="1">
      <alignment horizontal="left" vertical="center"/>
    </xf>
    <xf numFmtId="0" fontId="11" fillId="0" borderId="75" xfId="0" applyFont="1" applyBorder="1" applyAlignment="1">
      <alignment horizontal="center" vertical="center"/>
    </xf>
    <xf numFmtId="0" fontId="33" fillId="15" borderId="0" xfId="0" applyFont="1" applyFill="1" applyAlignment="1">
      <alignment horizontal="left" vertical="center"/>
    </xf>
    <xf numFmtId="0" fontId="33" fillId="16" borderId="0" xfId="0" applyFont="1" applyFill="1" applyAlignment="1">
      <alignment horizontal="left" vertical="center"/>
    </xf>
    <xf numFmtId="0" fontId="42" fillId="0" borderId="37" xfId="0" applyFont="1" applyBorder="1" applyAlignment="1" applyProtection="1">
      <alignment horizontal="center" vertical="center" shrinkToFit="1"/>
      <protection locked="0"/>
    </xf>
    <xf numFmtId="0" fontId="11" fillId="0" borderId="0" xfId="0" applyFont="1" applyAlignment="1">
      <alignment horizontal="center" vertical="center"/>
    </xf>
    <xf numFmtId="0" fontId="11" fillId="0" borderId="37" xfId="0" applyFont="1" applyBorder="1" applyAlignment="1">
      <alignment horizontal="center" vertical="center"/>
    </xf>
    <xf numFmtId="0" fontId="33" fillId="17" borderId="0" xfId="0" applyFont="1" applyFill="1" applyAlignment="1">
      <alignment horizontal="left" vertical="center"/>
    </xf>
    <xf numFmtId="0" fontId="35" fillId="0" borderId="0" xfId="0" applyFont="1" applyAlignment="1">
      <alignment horizontal="left" vertical="top" wrapText="1" indent="1"/>
    </xf>
    <xf numFmtId="0" fontId="33" fillId="13" borderId="0" xfId="0" applyFont="1" applyFill="1" applyAlignment="1">
      <alignment horizontal="left" vertical="center"/>
    </xf>
    <xf numFmtId="0" fontId="85" fillId="0" borderId="52" xfId="0" applyFont="1" applyBorder="1" applyAlignment="1">
      <alignment horizontal="left" wrapText="1"/>
    </xf>
    <xf numFmtId="0" fontId="87" fillId="0" borderId="52" xfId="0" applyFont="1" applyBorder="1" applyAlignment="1">
      <alignment horizontal="left" vertical="top" wrapText="1"/>
    </xf>
    <xf numFmtId="0" fontId="0" fillId="0" borderId="0" xfId="0" applyAlignment="1">
      <alignment horizontal="left" vertical="center" wrapText="1"/>
    </xf>
    <xf numFmtId="0" fontId="0" fillId="20" borderId="31" xfId="0" applyFill="1" applyBorder="1" applyAlignment="1">
      <alignment horizontal="center" vertical="top" wrapText="1"/>
    </xf>
    <xf numFmtId="0" fontId="0" fillId="0" borderId="0" xfId="0" applyAlignment="1" applyProtection="1">
      <alignment horizontal="left"/>
      <protection locked="0"/>
    </xf>
    <xf numFmtId="0" fontId="71" fillId="21" borderId="0" xfId="0" applyFont="1" applyFill="1" applyAlignment="1">
      <alignment horizontal="center" vertical="center"/>
    </xf>
    <xf numFmtId="0" fontId="45" fillId="0" borderId="0" xfId="0" applyFont="1" applyAlignment="1">
      <alignment horizontal="left" vertical="top" wrapText="1" shrinkToFit="1"/>
    </xf>
    <xf numFmtId="0" fontId="118" fillId="21" borderId="0" xfId="0" applyFont="1" applyFill="1" applyAlignment="1">
      <alignment horizontal="center" vertical="center" wrapText="1"/>
    </xf>
    <xf numFmtId="0" fontId="134" fillId="0" borderId="0" xfId="0" applyFont="1" applyAlignment="1">
      <alignment horizontal="left"/>
    </xf>
    <xf numFmtId="0" fontId="37" fillId="0" borderId="17" xfId="0" applyFont="1" applyBorder="1" applyAlignment="1">
      <alignment horizontal="left"/>
    </xf>
    <xf numFmtId="0" fontId="37" fillId="0" borderId="0" xfId="0" applyFont="1" applyAlignment="1">
      <alignment horizontal="left"/>
    </xf>
    <xf numFmtId="49" fontId="54" fillId="0" borderId="0" xfId="0" applyNumberFormat="1" applyFont="1" applyAlignment="1" applyProtection="1">
      <alignment horizontal="left" shrinkToFit="1"/>
      <protection locked="0"/>
    </xf>
    <xf numFmtId="0" fontId="25" fillId="19" borderId="0" xfId="0" applyFont="1" applyFill="1" applyAlignment="1">
      <alignment horizontal="center" vertical="top" textRotation="90" shrinkToFit="1"/>
    </xf>
    <xf numFmtId="0" fontId="25" fillId="13" borderId="0" xfId="0" applyFont="1" applyFill="1" applyAlignment="1">
      <alignment horizontal="center" textRotation="90" shrinkToFit="1"/>
    </xf>
    <xf numFmtId="0" fontId="25" fillId="17" borderId="0" xfId="0" applyFont="1" applyFill="1" applyAlignment="1">
      <alignment horizontal="center" vertical="top" textRotation="90" shrinkToFit="1"/>
    </xf>
    <xf numFmtId="0" fontId="25" fillId="16" borderId="0" xfId="0" applyFont="1" applyFill="1" applyAlignment="1">
      <alignment horizontal="center" vertical="top" textRotation="90" shrinkToFit="1"/>
    </xf>
    <xf numFmtId="0" fontId="25" fillId="0" borderId="0" xfId="0" applyFont="1" applyAlignment="1">
      <alignment horizontal="left" vertical="center"/>
    </xf>
    <xf numFmtId="0" fontId="25" fillId="17" borderId="0" xfId="0" applyFont="1" applyFill="1" applyAlignment="1">
      <alignment horizontal="center" vertical="top" textRotation="90"/>
    </xf>
    <xf numFmtId="0" fontId="75" fillId="18" borderId="0" xfId="0" applyFont="1" applyFill="1" applyAlignment="1">
      <alignment horizontal="left" shrinkToFit="1"/>
    </xf>
    <xf numFmtId="0" fontId="75" fillId="15" borderId="0" xfId="0" applyFont="1" applyFill="1" applyAlignment="1">
      <alignment horizontal="left" shrinkToFit="1"/>
    </xf>
    <xf numFmtId="0" fontId="75" fillId="6" borderId="0" xfId="0" applyFont="1" applyFill="1" applyAlignment="1">
      <alignment horizontal="left" shrinkToFit="1"/>
    </xf>
    <xf numFmtId="0" fontId="75" fillId="17" borderId="0" xfId="0" applyFont="1" applyFill="1" applyAlignment="1">
      <alignment horizontal="center" shrinkToFit="1"/>
    </xf>
    <xf numFmtId="0" fontId="25" fillId="3" borderId="69" xfId="0" applyFont="1" applyFill="1" applyBorder="1" applyAlignment="1">
      <alignment horizontal="center"/>
    </xf>
    <xf numFmtId="0" fontId="25" fillId="3" borderId="70" xfId="0" applyFont="1" applyFill="1" applyBorder="1" applyAlignment="1">
      <alignment horizontal="center"/>
    </xf>
    <xf numFmtId="0" fontId="75" fillId="13" borderId="0" xfId="0" applyFont="1" applyFill="1" applyAlignment="1">
      <alignment horizontal="left" shrinkToFit="1"/>
    </xf>
    <xf numFmtId="0" fontId="75" fillId="19" borderId="0" xfId="0" applyFont="1" applyFill="1" applyAlignment="1">
      <alignment horizontal="left" shrinkToFit="1"/>
    </xf>
    <xf numFmtId="0" fontId="75" fillId="16" borderId="0" xfId="0" applyFont="1" applyFill="1" applyAlignment="1">
      <alignment horizontal="left" shrinkToFit="1"/>
    </xf>
    <xf numFmtId="0" fontId="25" fillId="18" borderId="0" xfId="0" applyFont="1" applyFill="1" applyAlignment="1">
      <alignment horizontal="center" vertical="top" textRotation="90" shrinkToFit="1"/>
    </xf>
    <xf numFmtId="0" fontId="25" fillId="18" borderId="0" xfId="0" applyFont="1" applyFill="1" applyAlignment="1">
      <alignment horizontal="center" vertical="top" textRotation="90"/>
    </xf>
    <xf numFmtId="0" fontId="25" fillId="15" borderId="0" xfId="0" applyFont="1" applyFill="1" applyAlignment="1">
      <alignment horizontal="center" vertical="top" textRotation="90" shrinkToFit="1"/>
    </xf>
    <xf numFmtId="0" fontId="25" fillId="15" borderId="0" xfId="0" applyFont="1" applyFill="1" applyAlignment="1">
      <alignment horizontal="center" vertical="top" textRotation="90"/>
    </xf>
    <xf numFmtId="0" fontId="75" fillId="14" borderId="0" xfId="0" applyFont="1" applyFill="1" applyAlignment="1">
      <alignment horizontal="center" shrinkToFit="1"/>
    </xf>
    <xf numFmtId="0" fontId="25" fillId="3" borderId="65" xfId="0" applyFont="1" applyFill="1" applyBorder="1" applyAlignment="1">
      <alignment horizontal="center"/>
    </xf>
    <xf numFmtId="0" fontId="25" fillId="3" borderId="66" xfId="0" applyFont="1" applyFill="1" applyBorder="1" applyAlignment="1">
      <alignment horizontal="center"/>
    </xf>
    <xf numFmtId="0" fontId="25" fillId="3" borderId="62" xfId="0" applyFont="1" applyFill="1" applyBorder="1" applyAlignment="1">
      <alignment horizontal="center"/>
    </xf>
    <xf numFmtId="0" fontId="25" fillId="3" borderId="63" xfId="0" applyFont="1" applyFill="1" applyBorder="1" applyAlignment="1">
      <alignment horizontal="center"/>
    </xf>
    <xf numFmtId="0" fontId="25" fillId="3" borderId="64" xfId="0" applyFont="1" applyFill="1" applyBorder="1" applyAlignment="1">
      <alignment horizontal="center"/>
    </xf>
    <xf numFmtId="0" fontId="25" fillId="3" borderId="71" xfId="0" applyFont="1" applyFill="1" applyBorder="1" applyAlignment="1">
      <alignment horizontal="center"/>
    </xf>
    <xf numFmtId="0" fontId="5" fillId="0" borderId="0" xfId="0" applyFont="1" applyAlignment="1">
      <alignment horizontal="left" shrinkToFit="1"/>
    </xf>
    <xf numFmtId="0" fontId="19" fillId="0" borderId="0" xfId="0" applyFont="1" applyAlignment="1">
      <alignment shrinkToFit="1"/>
    </xf>
    <xf numFmtId="0" fontId="5" fillId="0" borderId="0" xfId="0" applyFont="1" applyAlignment="1">
      <alignment horizontal="center" shrinkToFit="1"/>
    </xf>
    <xf numFmtId="0" fontId="5" fillId="0" borderId="0" xfId="0" applyFont="1" applyAlignment="1">
      <alignment shrinkToFit="1"/>
    </xf>
    <xf numFmtId="0" fontId="37" fillId="20" borderId="0" xfId="0" applyFont="1" applyFill="1" applyAlignment="1">
      <alignment horizontal="left" indent="1"/>
    </xf>
    <xf numFmtId="0" fontId="0" fillId="0" borderId="0" xfId="0" applyAlignment="1">
      <alignment horizontal="left" vertical="top" wrapText="1"/>
    </xf>
  </cellXfs>
  <cellStyles count="7">
    <cellStyle name="Currency" xfId="1" builtinId="4"/>
    <cellStyle name="Currency 2" xfId="3" xr:uid="{00000000-0005-0000-0000-000001000000}"/>
    <cellStyle name="Currency 2 2" xfId="6" xr:uid="{00000000-0005-0000-0000-000002000000}"/>
    <cellStyle name="Currency 3" xfId="5" xr:uid="{00000000-0005-0000-0000-000003000000}"/>
    <cellStyle name="Hyperlink" xfId="4" builtinId="8"/>
    <cellStyle name="Normal" xfId="0" builtinId="0"/>
    <cellStyle name="Percent" xfId="2" builtinId="5"/>
  </cellStyles>
  <dxfs count="260">
    <dxf>
      <font>
        <b/>
        <i val="0"/>
        <u/>
        <color theme="7"/>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ill>
        <patternFill patternType="none">
          <bgColor auto="1"/>
        </patternFill>
      </fill>
    </dxf>
    <dxf>
      <numFmt numFmtId="177" formatCode=";;;"/>
      <fill>
        <patternFill patternType="none">
          <bgColor auto="1"/>
        </patternFill>
      </fill>
      <border>
        <left/>
        <right/>
        <bottom/>
      </border>
    </dxf>
    <dxf>
      <font>
        <color rgb="FFFF0000"/>
      </font>
    </dxf>
    <dxf>
      <font>
        <color theme="0"/>
      </font>
      <fill>
        <patternFill patternType="none">
          <bgColor auto="1"/>
        </patternFill>
      </fill>
    </dxf>
    <dxf>
      <font>
        <color theme="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numFmt numFmtId="177" formatCode=";;;"/>
    </dxf>
    <dxf>
      <numFmt numFmtId="177" formatCode=";;;"/>
    </dxf>
    <dxf>
      <font>
        <color theme="0"/>
      </font>
      <fill>
        <patternFill patternType="none">
          <bgColor auto="1"/>
        </patternFill>
      </fill>
    </dxf>
    <dxf>
      <font>
        <color theme="0"/>
      </font>
      <fill>
        <patternFill patternType="none">
          <bgColor auto="1"/>
        </patternFill>
      </fill>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rgb="FFFF0000"/>
      </font>
    </dxf>
    <dxf>
      <font>
        <color theme="0" tint="-0.14996795556505021"/>
      </font>
    </dxf>
    <dxf>
      <numFmt numFmtId="178" formatCode="_-[$USD]\ * #,##0_-;\-[$USD]\ * #,##0_-;_-[$USD]\ * &quot;-&quot;_-;_-@_-"/>
    </dxf>
    <dxf>
      <numFmt numFmtId="179" formatCode="_-[$€-2]\ * #,##0_-;\-[$€-2]\ * #,##0_-;_-[$€-2]\ * &quot;-&quot;_-;_-@_-"/>
    </dxf>
    <dxf>
      <numFmt numFmtId="177" formatCode=";;;"/>
    </dxf>
    <dxf>
      <font>
        <color theme="0" tint="-0.14996795556505021"/>
      </font>
    </dxf>
    <dxf>
      <font>
        <b/>
        <i val="0"/>
        <color rgb="FFFF0000"/>
      </font>
    </dxf>
    <dxf>
      <font>
        <color theme="0" tint="-0.24994659260841701"/>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rgb="FFFF0000"/>
      </font>
    </dxf>
    <dxf>
      <numFmt numFmtId="178" formatCode="_-[$USD]\ * #,##0_-;\-[$USD]\ * #,##0_-;_-[$USD]\ * &quot;-&quot;_-;_-@_-"/>
    </dxf>
    <dxf>
      <numFmt numFmtId="179" formatCode="_-[$€-2]\ * #,##0_-;\-[$€-2]\ * #,##0_-;_-[$€-2]\ * &quot;-&quot;_-;_-@_-"/>
    </dxf>
    <dxf>
      <font>
        <color theme="0" tint="-0.14996795556505021"/>
      </font>
    </dxf>
    <dxf>
      <font>
        <color theme="0" tint="-0.14996795556505021"/>
      </font>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7" formatCode=";;;"/>
    </dxf>
    <dxf>
      <font>
        <color rgb="FFFF0000"/>
      </font>
    </dxf>
    <dxf>
      <numFmt numFmtId="178" formatCode="_-[$USD]\ * #,##0_-;\-[$USD]\ * #,##0_-;_-[$USD]\ * &quot;-&quot;_-;_-@_-"/>
    </dxf>
    <dxf>
      <numFmt numFmtId="179" formatCode="_-[$€-2]\ * #,##0_-;\-[$€-2]\ * #,##0_-;_-[$€-2]\ * &quot;-&quot;_-;_-@_-"/>
    </dxf>
    <dxf>
      <font>
        <color theme="0" tint="-0.14996795556505021"/>
      </font>
    </dxf>
    <dxf>
      <font>
        <color theme="0" tint="-0.14996795556505021"/>
      </font>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theme="0" tint="-0.34998626667073579"/>
      </font>
    </dxf>
    <dxf>
      <numFmt numFmtId="177" formatCode=";;;"/>
    </dxf>
    <dxf>
      <font>
        <color theme="0" tint="-0.3499862666707357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font>
        <color rgb="FFFF0000"/>
      </font>
    </dxf>
    <dxf>
      <numFmt numFmtId="178" formatCode="_-[$USD]\ * #,##0_-;\-[$USD]\ * #,##0_-;_-[$USD]\ * &quot;-&quot;_-;_-@_-"/>
    </dxf>
    <dxf>
      <numFmt numFmtId="179" formatCode="_-[$€-2]\ * #,##0_-;\-[$€-2]\ * #,##0_-;_-[$€-2]\ * &quot;-&quot;_-;_-@_-"/>
    </dxf>
    <dxf>
      <numFmt numFmtId="177" formatCode=";;;"/>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numFmt numFmtId="177" formatCode=";;;"/>
    </dxf>
    <dxf>
      <numFmt numFmtId="178" formatCode="_-[$USD]\ * #,##0_-;\-[$USD]\ * #,##0_-;_-[$USD]\ * &quot;-&quot;_-;_-@_-"/>
    </dxf>
    <dxf>
      <numFmt numFmtId="179" formatCode="_-[$€-2]\ * #,##0_-;\-[$€-2]\ * #,##0_-;_-[$€-2]\ * &quot;-&quot;_-;_-@_-"/>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numFmt numFmtId="177" formatCode=";;;"/>
    </dxf>
    <dxf>
      <font>
        <color rgb="FFFF0000"/>
      </font>
    </dxf>
    <dxf>
      <numFmt numFmtId="177" formatCode=";;;"/>
    </dxf>
    <dxf>
      <numFmt numFmtId="178" formatCode="_-[$USD]\ * #,##0_-;\-[$USD]\ * #,##0_-;_-[$USD]\ * &quot;-&quot;_-;_-@_-"/>
    </dxf>
    <dxf>
      <numFmt numFmtId="179" formatCode="_-[$€-2]\ * #,##0_-;\-[$€-2]\ * #,##0_-;_-[$€-2]\ * &quot;-&quot;_-;_-@_-"/>
    </dxf>
    <dxf>
      <numFmt numFmtId="177" formatCode=";;;"/>
    </dxf>
    <dxf>
      <font>
        <b/>
        <i val="0"/>
        <color rgb="FFFF0000"/>
      </font>
    </dxf>
    <dxf>
      <font>
        <color theme="0" tint="-0.34998626667073579"/>
      </font>
    </dxf>
    <dxf>
      <font>
        <color rgb="FFC00000"/>
      </font>
    </dxf>
    <dxf>
      <numFmt numFmtId="177" formatCode=";;;"/>
      <fill>
        <patternFill patternType="none">
          <bgColor auto="1"/>
        </patternFill>
      </fill>
      <border>
        <left/>
        <right/>
        <bottom/>
      </border>
    </dxf>
    <dxf>
      <font>
        <color rgb="FFC00000"/>
      </font>
    </dxf>
    <dxf>
      <fill>
        <patternFill>
          <bgColor rgb="FFFF0000"/>
        </patternFill>
      </fill>
    </dxf>
    <dxf>
      <numFmt numFmtId="177" formatCode=";;;"/>
      <fill>
        <patternFill patternType="none">
          <bgColor auto="1"/>
        </patternFill>
      </fill>
      <border>
        <left/>
        <right/>
        <bottom/>
      </border>
    </dxf>
    <dxf>
      <font>
        <color rgb="FFFF0000"/>
      </font>
    </dxf>
    <dxf>
      <font>
        <u/>
      </font>
    </dxf>
    <dxf>
      <font>
        <color theme="1" tint="0.499984740745262"/>
      </font>
    </dxf>
    <dxf>
      <font>
        <color theme="1" tint="0.499984740745262"/>
      </font>
    </dxf>
    <dxf>
      <font>
        <color theme="0"/>
      </font>
      <numFmt numFmtId="0" formatCode="General"/>
      <fill>
        <patternFill patternType="solid">
          <fgColor indexed="64"/>
          <bgColor theme="1" tint="0.34998626667073579"/>
        </patternFill>
      </fill>
      <alignment horizontal="left" vertical="bottom" textRotation="0" wrapText="0" indent="0" justifyLastLine="0" shrinkToFit="0" readingOrder="0"/>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fill>
        <patternFill patternType="solid">
          <fgColor indexed="64"/>
          <bgColor theme="5" tint="-0.249977111117893"/>
        </patternFill>
      </fil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solid">
          <fgColor theme="9"/>
          <bgColor theme="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fill>
        <patternFill patternType="solid">
          <fgColor indexed="64"/>
          <bgColor theme="1" tint="0.34998626667073579"/>
        </patternFill>
      </fill>
    </dxf>
    <dxf>
      <font>
        <strike val="0"/>
        <outline val="0"/>
        <shadow val="0"/>
        <u val="none"/>
        <vertAlign val="baseline"/>
        <color theme="0"/>
        <name val="Calibri"/>
        <scheme val="minor"/>
      </font>
    </dxf>
    <dxf>
      <font>
        <b val="0"/>
        <i val="0"/>
        <strike val="0"/>
        <condense val="0"/>
        <extend val="0"/>
        <outline val="0"/>
        <shadow val="0"/>
        <u val="none"/>
        <vertAlign val="baseline"/>
        <sz val="12"/>
        <color theme="0"/>
        <name val="Calibri"/>
        <scheme val="minor"/>
      </font>
      <fill>
        <patternFill patternType="none">
          <fgColor indexed="64"/>
          <bgColor auto="1"/>
        </patternFill>
      </fill>
    </dxf>
    <dxf>
      <font>
        <strike val="0"/>
        <outline val="0"/>
        <shadow val="0"/>
        <u val="none"/>
        <vertAlign val="baseline"/>
        <color theme="0"/>
        <name val="Calibri"/>
        <scheme val="minor"/>
      </font>
      <fill>
        <patternFill patternType="none">
          <fgColor indexed="64"/>
          <bgColor auto="1"/>
        </patternFill>
      </fill>
    </dxf>
    <dxf>
      <font>
        <strike val="0"/>
        <outline val="0"/>
        <shadow val="0"/>
        <u val="none"/>
        <vertAlign val="baseline"/>
        <color theme="0"/>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indexed="65"/>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color theme="0"/>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numFmt numFmtId="0" formatCode="General"/>
      <fill>
        <patternFill patternType="none">
          <fgColor indexed="64"/>
          <bgColor auto="1"/>
        </patternFill>
      </fill>
    </dxf>
    <dxf>
      <font>
        <strike val="0"/>
        <outline val="0"/>
        <shadow val="0"/>
        <u val="none"/>
        <vertAlign val="baseline"/>
        <sz val="12"/>
        <color theme="0"/>
        <name val="Calibri"/>
        <family val="2"/>
        <scheme val="minor"/>
      </font>
      <fill>
        <patternFill patternType="none">
          <fgColor indexed="64"/>
          <bgColor auto="1"/>
        </patternFill>
      </fill>
    </dxf>
    <dxf>
      <font>
        <strike val="0"/>
        <outline val="0"/>
        <shadow val="0"/>
        <u val="none"/>
        <vertAlign val="baseline"/>
        <color theme="0"/>
        <name val="Calibri"/>
        <scheme val="minor"/>
      </font>
    </dxf>
    <dxf>
      <font>
        <b/>
        <i val="0"/>
        <strike val="0"/>
        <condense val="0"/>
        <extend val="0"/>
        <outline val="0"/>
        <shadow val="0"/>
        <u/>
        <vertAlign val="baseline"/>
        <sz val="12"/>
        <color theme="1"/>
        <name val="Calibri"/>
        <scheme val="minor"/>
      </font>
      <alignment vertical="top" textRotation="0" wrapText="1"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protection locked="0" hidden="0"/>
    </dxf>
    <dxf>
      <alignment horizontal="left"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0"/>
        <color auto="1"/>
        <name val="Calibri"/>
        <scheme val="minor"/>
      </font>
      <protection locked="0" hidden="0"/>
    </dxf>
    <dxf>
      <protection locked="0" hidden="0"/>
    </dxf>
    <dxf>
      <font>
        <b val="0"/>
        <i val="0"/>
        <strike val="0"/>
        <condense val="0"/>
        <extend val="0"/>
        <outline val="0"/>
        <shadow val="0"/>
        <u val="none"/>
        <vertAlign val="baseline"/>
        <sz val="10"/>
        <color auto="1"/>
        <name val="Calibri"/>
        <scheme val="minor"/>
      </font>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0" tint="-0.249977111117893"/>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sz val="10"/>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protection locked="1" hidden="0"/>
    </dxf>
    <dxf>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0" tint="-0.249977111117893"/>
        <name val="Calibri"/>
        <scheme val="minor"/>
      </font>
      <alignment horizontal="general" vertical="center" textRotation="0" wrapText="0" indent="0" justifyLastLine="0" shrinkToFit="0" readingOrder="0"/>
      <protection locked="0" hidden="0"/>
    </dxf>
  </dxfs>
  <tableStyles count="0" defaultTableStyle="TableStyleMedium2" defaultPivotStyle="PivotStyleLight16"/>
  <colors>
    <mruColors>
      <color rgb="FFB4D9FA"/>
      <color rgb="FFDCAEFF"/>
      <color rgb="FFFFFFC8"/>
      <color rgb="FFFFFF96"/>
      <color rgb="FFFFFF79"/>
      <color rgb="FFF8CBAD"/>
      <color rgb="FFD3E079"/>
      <color rgb="FFC7B08A"/>
      <color rgb="FFFFC2C1"/>
      <color rgb="FFD5E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checked="Checked" fmlaLink="Checkbox_SameAsBillTo" lockText="1" noThreeD="1"/>
</file>

<file path=xl/ctrlProps/ctrlProp2.xml><?xml version="1.0" encoding="utf-8"?>
<formControlPr xmlns="http://schemas.microsoft.com/office/spreadsheetml/2009/9/main" objectType="CheckBox" fmlaLink="QUOTE_Split_SoftwareHardware" lockText="1"/>
</file>

<file path=xl/ctrlProps/ctrlProp3.xml><?xml version="1.0" encoding="utf-8"?>
<formControlPr xmlns="http://schemas.microsoft.com/office/spreadsheetml/2009/9/main" objectType="CheckBox" fmlaLink="QUOTE_InternetDownload" lockText="1"/>
</file>

<file path=xl/ctrlProps/ctrlProp4.xml><?xml version="1.0" encoding="utf-8"?>
<formControlPr xmlns="http://schemas.microsoft.com/office/spreadsheetml/2009/9/main" objectType="CheckBox" fmlaLink="QUOTE_Bureaucracy"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fmlaLink="QUOTE_Split_SoftwareHardware" lockText="1"/>
</file>

<file path=xl/ctrlProps/ctrlProp7.xml><?xml version="1.0" encoding="utf-8"?>
<formControlPr xmlns="http://schemas.microsoft.com/office/spreadsheetml/2009/9/main" objectType="CheckBox" fmlaLink="QUOTE_InternetDownload"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fmlaLink="QUOTE_Bureaucracy" lockText="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Drop" dropLines="21" dropStyle="combo" dx="26" fmlaLink="RHIZO_N_System" fmlaRange="Vars!$C$144:$C$164" noThreeD="1" sel="1" val="0"/>
</file>

<file path=xl/ctrlProps/ctrlProp12.xml><?xml version="1.0" encoding="utf-8"?>
<formControlPr xmlns="http://schemas.microsoft.com/office/spreadsheetml/2009/9/main" objectType="CheckBox" checked="Checked" fmlaLink="Checkbox_Instructions" lockText="1" noThreeD="1"/>
</file>

<file path=xl/ctrlProps/ctrlProp13.xml><?xml version="1.0" encoding="utf-8"?>
<formControlPr xmlns="http://schemas.microsoft.com/office/spreadsheetml/2009/9/main" objectType="Drop" dropStyle="combo" dx="26" fmlaLink="RHIZO_IndexClientVersion" fmlaRange="RHIZO_SoftwareList" sel="2" val="0"/>
</file>

<file path=xl/ctrlProps/ctrlProp14.xml><?xml version="1.0" encoding="utf-8"?>
<formControlPr xmlns="http://schemas.microsoft.com/office/spreadsheetml/2009/9/main" objectType="Drop" dropLines="21" dropStyle="combo" dx="26" fmlaLink="RHIZO_N_Software" fmlaRange="Vars!$C$144:$C$164" noThreeD="1" sel="1" val="0"/>
</file>

<file path=xl/ctrlProps/ctrlProp15.xml><?xml version="1.0" encoding="utf-8"?>
<formControlPr xmlns="http://schemas.microsoft.com/office/spreadsheetml/2009/9/main" objectType="Drop" dropStyle="combo" dx="26" fmlaLink="RHIZO_IndexSoftware" fmlaRange="RHIZO_SoftwareFullNames" sel="3" val="0"/>
</file>

<file path=xl/ctrlProps/ctrlProp16.xml><?xml version="1.0" encoding="utf-8"?>
<formControlPr xmlns="http://schemas.microsoft.com/office/spreadsheetml/2009/9/main" objectType="Drop" dropLines="11" dropStyle="combo" dx="26" fmlaLink="RHIZO_N_AlreadyHaveSoftware" fmlaRange="Vars!$C$144:$C$153" noThreeD="1" sel="1" val="0"/>
</file>

<file path=xl/ctrlProps/ctrlProp17.xml><?xml version="1.0" encoding="utf-8"?>
<formControlPr xmlns="http://schemas.microsoft.com/office/spreadsheetml/2009/9/main" objectType="CheckBox" checked="Checked" fmlaLink="RHIZO_ClientWithOrWithoutScanner_ChkBox" lockText="1" noThreeD="1"/>
</file>

<file path=xl/ctrlProps/ctrlProp18.xml><?xml version="1.0" encoding="utf-8"?>
<formControlPr xmlns="http://schemas.microsoft.com/office/spreadsheetml/2009/9/main" objectType="Drop" dropLines="3" dropStyle="combo" dx="26" fmlaLink="RHIZO_IndexScanner" fmlaRange="Vars!$S$144:$S$145" noThreeD="1" sel="2" val="0"/>
</file>

<file path=xl/ctrlProps/ctrlProp19.xml><?xml version="1.0" encoding="utf-8"?>
<formControlPr xmlns="http://schemas.microsoft.com/office/spreadsheetml/2009/9/main" objectType="CheckBox" checked="Checked" fmlaLink="RHIZO_PosiOrBlueBG_Checkbox" lockText="1" noThreeD="1"/>
</file>

<file path=xl/ctrlProps/ctrlProp20.xml><?xml version="1.0" encoding="utf-8"?>
<formControlPr xmlns="http://schemas.microsoft.com/office/spreadsheetml/2009/9/main" objectType="Drop" dropLines="11" dropStyle="combo" dx="26" fmlaLink="RHIZO_Option2" fmlaRange="Vars!$C$144:$C$146" noThreeD="1" sel="1" val="0"/>
</file>

<file path=xl/ctrlProps/ctrlProp21.xml><?xml version="1.0" encoding="utf-8"?>
<formControlPr xmlns="http://schemas.microsoft.com/office/spreadsheetml/2009/9/main" objectType="Drop" dropLines="11" dropStyle="combo" dx="26" fmlaLink="RHIZO_Option1" fmlaRange="Vars!$C$144:$C$146" noThreeD="1" sel="1" val="0"/>
</file>

<file path=xl/ctrlProps/ctrlProp22.xml><?xml version="1.0" encoding="utf-8"?>
<formControlPr xmlns="http://schemas.microsoft.com/office/spreadsheetml/2009/9/main" objectType="Drop" dropStyle="combo" dx="26" fmlaLink="RHIZO_Option3" fmlaRange="Tray1To3" noThreeD="1" sel="1" val="0"/>
</file>

<file path=xl/ctrlProps/ctrlProp23.xml><?xml version="1.0" encoding="utf-8"?>
<formControlPr xmlns="http://schemas.microsoft.com/office/spreadsheetml/2009/9/main" objectType="Drop" dropLines="11" dropStyle="combo" dx="26" fmlaLink="RHIZO_Option6" fmlaRange="Vars!$C$144:$C$146" noThreeD="1" sel="1" val="0"/>
</file>

<file path=xl/ctrlProps/ctrlProp24.xml><?xml version="1.0" encoding="utf-8"?>
<formControlPr xmlns="http://schemas.microsoft.com/office/spreadsheetml/2009/9/main" objectType="Drop" dropLines="11" dropStyle="combo" dx="26" fmlaLink="RHIZO_Option7" fmlaRange="Vars!$C$144:$C$146" noThreeD="1" sel="1" val="0"/>
</file>

<file path=xl/ctrlProps/ctrlProp25.xml><?xml version="1.0" encoding="utf-8"?>
<formControlPr xmlns="http://schemas.microsoft.com/office/spreadsheetml/2009/9/main" objectType="Drop" dropLines="11" dropStyle="combo" dx="26" fmlaLink="RHIZO_Option8" fmlaRange="Vars!$B$144:$B$146" noThreeD="1" sel="1" val="0"/>
</file>

<file path=xl/ctrlProps/ctrlProp26.xml><?xml version="1.0" encoding="utf-8"?>
<formControlPr xmlns="http://schemas.microsoft.com/office/spreadsheetml/2009/9/main" objectType="Drop" dropStyle="combo" dx="26" fmlaLink="RHIZO_Option4" fmlaRange="Tray1To3" noThreeD="1" sel="1" val="0"/>
</file>

<file path=xl/ctrlProps/ctrlProp27.xml><?xml version="1.0" encoding="utf-8"?>
<formControlPr xmlns="http://schemas.microsoft.com/office/spreadsheetml/2009/9/main" objectType="Drop" dropStyle="combo" dx="26" fmlaLink="RHIZO_Option5" fmlaRange="Tray1To3" noThreeD="1" sel="1" val="0"/>
</file>

<file path=xl/ctrlProps/ctrlProp28.xml><?xml version="1.0" encoding="utf-8"?>
<formControlPr xmlns="http://schemas.microsoft.com/office/spreadsheetml/2009/9/main" objectType="Drop" dropStyle="combo" dx="26" fmlaLink="RHIZO_Option9" fmlaRange="Tray1To3" noThreeD="1" sel="1" val="0"/>
</file>

<file path=xl/ctrlProps/ctrlProp29.xml><?xml version="1.0" encoding="utf-8"?>
<formControlPr xmlns="http://schemas.microsoft.com/office/spreadsheetml/2009/9/main" objectType="Drop" dropStyle="combo" dx="26" fmlaLink="RHIZO_Option10" fmlaRange="Tray1To3" noThreeD="1" sel="1" val="0"/>
</file>

<file path=xl/ctrlProps/ctrlProp30.xml><?xml version="1.0" encoding="utf-8"?>
<formControlPr xmlns="http://schemas.microsoft.com/office/spreadsheetml/2009/9/main" objectType="Drop" dropStyle="combo" dx="26" fmlaLink="RHIZO_Option11" fmlaRange="Tray1To3" noThreeD="1" sel="1" val="0"/>
</file>

<file path=xl/ctrlProps/ctrlProp31.xml><?xml version="1.0" encoding="utf-8"?>
<formControlPr xmlns="http://schemas.microsoft.com/office/spreadsheetml/2009/9/main" objectType="Drop" dropLines="21" dropStyle="combo" dx="26" fmlaLink="RHIZO_N_UpgradeUpdate" fmlaRange="Vars!$C$144:$C$164" noThreeD="1" sel="1" val="0"/>
</file>

<file path=xl/ctrlProps/ctrlProp32.xml><?xml version="1.0" encoding="utf-8"?>
<formControlPr xmlns="http://schemas.microsoft.com/office/spreadsheetml/2009/9/main" objectType="CheckBox" checked="Checked" fmlaLink="Checkbox_Instructions"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Drop" dropStyle="combo" dx="26" fmlaLink="RHIZOTRON_IndexSoftware" fmlaRange="RHIZOTRON_SoftwareFullNames" sel="2" val="0"/>
</file>

<file path=xl/ctrlProps/ctrlProp35.xml><?xml version="1.0" encoding="utf-8"?>
<formControlPr xmlns="http://schemas.microsoft.com/office/spreadsheetml/2009/9/main" objectType="Drop" dropLines="21" dropStyle="combo" dx="26" fmlaLink="RHIZOTRON_N_Software" fmlaRange="Vars!$C$144:$C$164" noThreeD="1" sel="1" val="0"/>
</file>

<file path=xl/ctrlProps/ctrlProp36.xml><?xml version="1.0" encoding="utf-8"?>
<formControlPr xmlns="http://schemas.microsoft.com/office/spreadsheetml/2009/9/main" objectType="Drop" dropStyle="combo" dx="26" fmlaLink="RHIZOTRON_IndexClientVersion" fmlaRange="RHIZOTRON_SoftwareList" sel="1" val="0"/>
</file>

<file path=xl/ctrlProps/ctrlProp37.xml><?xml version="1.0" encoding="utf-8"?>
<formControlPr xmlns="http://schemas.microsoft.com/office/spreadsheetml/2009/9/main" objectType="Drop" dropLines="21" dropStyle="combo" dx="26" fmlaLink="RHIZOTRON_N_UpgradeUpdate" fmlaRange="Vars!$C$144:$C$164" noThreeD="1" sel="1" val="0"/>
</file>

<file path=xl/ctrlProps/ctrlProp38.xml><?xml version="1.0" encoding="utf-8"?>
<formControlPr xmlns="http://schemas.microsoft.com/office/spreadsheetml/2009/9/main" objectType="Drop" dropLines="11" dropStyle="combo" dx="26" fmlaLink="RHIZOTRON_N_AlreadyHaveSoftware" fmlaRange="Vars!$C$144:$C$153" noThreeD="1" sel="1" val="0"/>
</file>

<file path=xl/ctrlProps/ctrlProp39.xml><?xml version="1.0" encoding="utf-8"?>
<formControlPr xmlns="http://schemas.microsoft.com/office/spreadsheetml/2009/9/main" objectType="CheckBox" checked="Checked" fmlaLink="Checkbox_Instructions"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Drop" dropLines="21" dropStyle="combo" dx="26" fmlaLink="SEEDLE_N_System" fmlaRange="Vars!$C$144:$C$164" noThreeD="1" sel="1" val="0"/>
</file>

<file path=xl/ctrlProps/ctrlProp42.xml><?xml version="1.0" encoding="utf-8"?>
<formControlPr xmlns="http://schemas.microsoft.com/office/spreadsheetml/2009/9/main" objectType="Drop" dropStyle="combo" dx="26" fmlaLink="SEEDLE_IndexClientVersion" fmlaRange="SEEDLE_SoftwareList" sel="1" val="0"/>
</file>

<file path=xl/ctrlProps/ctrlProp43.xml><?xml version="1.0" encoding="utf-8"?>
<formControlPr xmlns="http://schemas.microsoft.com/office/spreadsheetml/2009/9/main" objectType="Drop" dropStyle="combo" dx="26" fmlaLink="SEEDLE_IndexSoftware" fmlaRange="SEEDLE_SoftwareFullNames" sel="2" val="0"/>
</file>

<file path=xl/ctrlProps/ctrlProp44.xml><?xml version="1.0" encoding="utf-8"?>
<formControlPr xmlns="http://schemas.microsoft.com/office/spreadsheetml/2009/9/main" objectType="Drop" dropLines="11" dropStyle="combo" dx="26" fmlaLink="SEEDLE_N_AlreadyHaveSoftware" fmlaRange="Vars!$C$144:$C$153" noThreeD="1" sel="1" val="0"/>
</file>

<file path=xl/ctrlProps/ctrlProp45.xml><?xml version="1.0" encoding="utf-8"?>
<formControlPr xmlns="http://schemas.microsoft.com/office/spreadsheetml/2009/9/main" objectType="Drop" dropLines="21" dropStyle="combo" dx="26" fmlaLink="SEEDLE_N_UpgradeUpdate" fmlaRange="Vars!$C$144:$C$164" noThreeD="1" sel="1" val="0"/>
</file>

<file path=xl/ctrlProps/ctrlProp46.xml><?xml version="1.0" encoding="utf-8"?>
<formControlPr xmlns="http://schemas.microsoft.com/office/spreadsheetml/2009/9/main" objectType="Drop" dropLines="21" dropStyle="combo" dx="26" fmlaLink="SEEDLE_N_Software" fmlaRange="Vars!$C$144:$C$164" noThreeD="1" sel="1" val="0"/>
</file>

<file path=xl/ctrlProps/ctrlProp47.xml><?xml version="1.0" encoding="utf-8"?>
<formControlPr xmlns="http://schemas.microsoft.com/office/spreadsheetml/2009/9/main" objectType="CheckBox" fmlaLink="SEEDLE_ClientWithOrWithoutScanner_ChkBox" lockText="1" noThreeD="1"/>
</file>

<file path=xl/ctrlProps/ctrlProp48.xml><?xml version="1.0" encoding="utf-8"?>
<formControlPr xmlns="http://schemas.microsoft.com/office/spreadsheetml/2009/9/main" objectType="Drop" dropLines="3" dropStyle="combo" dx="26" fmlaLink="SEEDLE_IndexScanner" fmlaRange="Vars!$S$144:$S$145" noThreeD="1" sel="1" val="0"/>
</file>

<file path=xl/ctrlProps/ctrlProp49.xml><?xml version="1.0" encoding="utf-8"?>
<formControlPr xmlns="http://schemas.microsoft.com/office/spreadsheetml/2009/9/main" objectType="CheckBox" fmlaLink="SEEDLE_PosiOrBlueBG_Checkbox" lockText="1" noThreeD="1"/>
</file>

<file path=xl/ctrlProps/ctrlProp50.xml><?xml version="1.0" encoding="utf-8"?>
<formControlPr xmlns="http://schemas.microsoft.com/office/spreadsheetml/2009/9/main" objectType="Drop" dropLines="11" dropStyle="combo" dx="26" fmlaLink="SEEDLE_Option2" fmlaRange="Vars!$C$144:$C$146" noThreeD="1" sel="1" val="0"/>
</file>

<file path=xl/ctrlProps/ctrlProp51.xml><?xml version="1.0" encoding="utf-8"?>
<formControlPr xmlns="http://schemas.microsoft.com/office/spreadsheetml/2009/9/main" objectType="Drop" dropLines="11" dropStyle="combo" dx="26" fmlaLink="SEEDLE_Option1" fmlaRange="Vars!$C$144:$C$146" noThreeD="1" sel="1" val="0"/>
</file>

<file path=xl/ctrlProps/ctrlProp52.xml><?xml version="1.0" encoding="utf-8"?>
<formControlPr xmlns="http://schemas.microsoft.com/office/spreadsheetml/2009/9/main" objectType="Drop" dropStyle="combo" dx="26" fmlaLink="SEEDLE_Option3" fmlaRange="Tray1To3" noThreeD="1" sel="1" val="0"/>
</file>

<file path=xl/ctrlProps/ctrlProp53.xml><?xml version="1.0" encoding="utf-8"?>
<formControlPr xmlns="http://schemas.microsoft.com/office/spreadsheetml/2009/9/main" objectType="Drop" dropLines="11" dropStyle="combo" dx="26" fmlaLink="SEEDLE_Option6" fmlaRange="Vars!$C$144:$C$146" noThreeD="1" sel="1" val="0"/>
</file>

<file path=xl/ctrlProps/ctrlProp54.xml><?xml version="1.0" encoding="utf-8"?>
<formControlPr xmlns="http://schemas.microsoft.com/office/spreadsheetml/2009/9/main" objectType="Drop" dropLines="11" dropStyle="combo" dx="26" fmlaLink="SEEDLE_Option7" fmlaRange="Vars!$C$144:$C$146" noThreeD="1" sel="1" val="0"/>
</file>

<file path=xl/ctrlProps/ctrlProp55.xml><?xml version="1.0" encoding="utf-8"?>
<formControlPr xmlns="http://schemas.microsoft.com/office/spreadsheetml/2009/9/main" objectType="Drop" dropLines="11" dropStyle="combo" dx="26" fmlaLink="SEEDLE_Option8" fmlaRange="Vars!$B$144:$B$146" noThreeD="1" sel="1" val="0"/>
</file>

<file path=xl/ctrlProps/ctrlProp56.xml><?xml version="1.0" encoding="utf-8"?>
<formControlPr xmlns="http://schemas.microsoft.com/office/spreadsheetml/2009/9/main" objectType="Drop" dropStyle="combo" dx="26" fmlaLink="SEEDLE_Option4" fmlaRange="Tray1To3" noThreeD="1" sel="1" val="0"/>
</file>

<file path=xl/ctrlProps/ctrlProp57.xml><?xml version="1.0" encoding="utf-8"?>
<formControlPr xmlns="http://schemas.microsoft.com/office/spreadsheetml/2009/9/main" objectType="Drop" dropStyle="combo" dx="26" fmlaLink="SEEDLE_Option5" fmlaRange="Tray1To3" noThreeD="1" sel="1" val="0"/>
</file>

<file path=xl/ctrlProps/ctrlProp58.xml><?xml version="1.0" encoding="utf-8"?>
<formControlPr xmlns="http://schemas.microsoft.com/office/spreadsheetml/2009/9/main" objectType="Drop" dropStyle="combo" dx="26" fmlaLink="SEEDLE_Option9" fmlaRange="Tray1To3" noThreeD="1" sel="1" val="0"/>
</file>

<file path=xl/ctrlProps/ctrlProp59.xml><?xml version="1.0" encoding="utf-8"?>
<formControlPr xmlns="http://schemas.microsoft.com/office/spreadsheetml/2009/9/main" objectType="Drop" dropStyle="combo" dx="26" fmlaLink="SEEDLE_Option10" fmlaRange="Tray1To3" noThreeD="1" sel="1" val="0"/>
</file>

<file path=xl/ctrlProps/ctrlProp60.xml><?xml version="1.0" encoding="utf-8"?>
<formControlPr xmlns="http://schemas.microsoft.com/office/spreadsheetml/2009/9/main" objectType="Drop" dropStyle="combo" dx="26" fmlaLink="SEEDLE_Option11" fmlaRange="Tray1To3" noThreeD="1" sel="1" val="0"/>
</file>

<file path=xl/ctrlProps/ctrlProp61.xml><?xml version="1.0" encoding="utf-8"?>
<formControlPr xmlns="http://schemas.microsoft.com/office/spreadsheetml/2009/9/main" objectType="CheckBox" checked="Checked" fmlaLink="Checkbox_Instructions"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Drop" dropLines="21" dropStyle="combo" dx="26" fmlaLink="FOLIA_N_System" fmlaRange="Vars!$C$144:$C$164" noThreeD="1" sel="1" val="0"/>
</file>

<file path=xl/ctrlProps/ctrlProp64.xml><?xml version="1.0" encoding="utf-8"?>
<formControlPr xmlns="http://schemas.microsoft.com/office/spreadsheetml/2009/9/main" objectType="Drop" dropStyle="combo" dx="26" fmlaLink="FOLIA_IndexClientVersion" fmlaRange="FOLIA_SoftwareList" sel="2" val="0"/>
</file>

<file path=xl/ctrlProps/ctrlProp65.xml><?xml version="1.0" encoding="utf-8"?>
<formControlPr xmlns="http://schemas.microsoft.com/office/spreadsheetml/2009/9/main" objectType="Drop" dropStyle="combo" dx="26" fmlaLink="FOLIA_IndexSoftware" fmlaRange="FOLIA_SoftwareFullNames" sel="2" val="0"/>
</file>

<file path=xl/ctrlProps/ctrlProp66.xml><?xml version="1.0" encoding="utf-8"?>
<formControlPr xmlns="http://schemas.microsoft.com/office/spreadsheetml/2009/9/main" objectType="Drop" dropLines="11" dropStyle="combo" dx="26" fmlaLink="FOLIA_OptionTPU" fmlaRange="Vars!$C$144:$C$154" noThreeD="1" sel="1" val="0"/>
</file>

<file path=xl/ctrlProps/ctrlProp67.xml><?xml version="1.0" encoding="utf-8"?>
<formControlPr xmlns="http://schemas.microsoft.com/office/spreadsheetml/2009/9/main" objectType="Drop" dropLines="11" dropStyle="combo" dx="26" fmlaLink="FOLIA_N_AlreadyHaveSoftware" fmlaRange="Vars!$C$144:$C$153" noThreeD="1" sel="1" val="0"/>
</file>

<file path=xl/ctrlProps/ctrlProp68.xml><?xml version="1.0" encoding="utf-8"?>
<formControlPr xmlns="http://schemas.microsoft.com/office/spreadsheetml/2009/9/main" objectType="Drop" dropLines="21" dropStyle="combo" dx="26" fmlaLink="FOLIA_N_UpgradeUpdate" fmlaRange="Vars!$C$144:$C$164" noThreeD="1" sel="1" val="0"/>
</file>

<file path=xl/ctrlProps/ctrlProp69.xml><?xml version="1.0" encoding="utf-8"?>
<formControlPr xmlns="http://schemas.microsoft.com/office/spreadsheetml/2009/9/main" objectType="Drop" dropLines="21" dropStyle="combo" dx="26" fmlaLink="FOLIA_N_Software" fmlaRange="Vars!$C$144:$C$164" noThreeD="1" sel="1" val="0"/>
</file>

<file path=xl/ctrlProps/ctrlProp70.xml><?xml version="1.0" encoding="utf-8"?>
<formControlPr xmlns="http://schemas.microsoft.com/office/spreadsheetml/2009/9/main" objectType="CheckBox" fmlaLink="FOLIA_ClientWithOrWithoutScanner_ChkBox" lockText="1" noThreeD="1"/>
</file>

<file path=xl/ctrlProps/ctrlProp71.xml><?xml version="1.0" encoding="utf-8"?>
<formControlPr xmlns="http://schemas.microsoft.com/office/spreadsheetml/2009/9/main" objectType="Drop" dropLines="3" dropStyle="combo" dx="26" fmlaLink="FOLIA_IndexScanner" fmlaRange="Vars!$S$144:$S$146" noThreeD="1" sel="1" val="0"/>
</file>

<file path=xl/ctrlProps/ctrlProp72.xml><?xml version="1.0" encoding="utf-8"?>
<formControlPr xmlns="http://schemas.microsoft.com/office/spreadsheetml/2009/9/main" objectType="Drop" dropLines="11" dropStyle="combo" dx="26" fmlaLink="FOLIA_Option2" fmlaRange="Vars!$C$144:$C$146" noThreeD="1" sel="1" val="0"/>
</file>

<file path=xl/ctrlProps/ctrlProp73.xml><?xml version="1.0" encoding="utf-8"?>
<formControlPr xmlns="http://schemas.microsoft.com/office/spreadsheetml/2009/9/main" objectType="Drop" dropLines="11" dropStyle="combo" dx="26" fmlaLink="FOLIA_Option3" fmlaRange="Vars!$C$144:$C$146" noThreeD="1" sel="1" val="0"/>
</file>

<file path=xl/ctrlProps/ctrlProp74.xml><?xml version="1.0" encoding="utf-8"?>
<formControlPr xmlns="http://schemas.microsoft.com/office/spreadsheetml/2009/9/main" objectType="Drop" dropLines="11" dropStyle="combo" dx="26" fmlaLink="FOLIA_Option4" fmlaRange="Vars!$C$144:$C$146" noThreeD="1" sel="1" val="0"/>
</file>

<file path=xl/ctrlProps/ctrlProp75.xml><?xml version="1.0" encoding="utf-8"?>
<formControlPr xmlns="http://schemas.microsoft.com/office/spreadsheetml/2009/9/main" objectType="CheckBox" checked="Checked" fmlaLink="FOLIA_PosiOrBlueBG_Checkbox" lockText="1" noThreeD="1"/>
</file>

<file path=xl/ctrlProps/ctrlProp76.xml><?xml version="1.0" encoding="utf-8"?>
<formControlPr xmlns="http://schemas.microsoft.com/office/spreadsheetml/2009/9/main" objectType="CheckBox" checked="Checked" fmlaLink="Checkbox_Instructions"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Drop" dropStyle="combo" dx="26" fmlaLink="CAM_IndexSoftware" fmlaRange="CAM_SoftwareFullNames" sel="2" val="0"/>
</file>

<file path=xl/ctrlProps/ctrlProp79.xml><?xml version="1.0" encoding="utf-8"?>
<formControlPr xmlns="http://schemas.microsoft.com/office/spreadsheetml/2009/9/main" objectType="Drop" dropLines="21" dropStyle="combo" dx="26" fmlaLink="CAM_N_Software" fmlaRange="Vars!$C$144:$C$164" noThreeD="1" sel="1" val="0"/>
</file>

<file path=xl/ctrlProps/ctrlProp80.xml><?xml version="1.0" encoding="utf-8"?>
<formControlPr xmlns="http://schemas.microsoft.com/office/spreadsheetml/2009/9/main" objectType="Drop" dropLines="21" dropStyle="combo" dx="26" fmlaLink="CAM_N_System" fmlaRange="Vars!$C$144:$C$164" noThreeD="1" sel="1" val="0"/>
</file>

<file path=xl/ctrlProps/ctrlProp81.xml><?xml version="1.0" encoding="utf-8"?>
<formControlPr xmlns="http://schemas.microsoft.com/office/spreadsheetml/2009/9/main" objectType="Drop" dropLines="11" dropStyle="combo" dx="26" fmlaLink="CAM_OptionTPU" fmlaRange="Vars!$C$144:$C$154" noThreeD="1" sel="1" val="0"/>
</file>

<file path=xl/ctrlProps/ctrlProp82.xml><?xml version="1.0" encoding="utf-8"?>
<formControlPr xmlns="http://schemas.microsoft.com/office/spreadsheetml/2009/9/main" objectType="Drop" dropLines="11" dropStyle="combo" dx="26" fmlaLink="CAM_Option2" fmlaRange="Vars!$C$144:$C$146" noThreeD="1" sel="1" val="0"/>
</file>

<file path=xl/ctrlProps/ctrlProp83.xml><?xml version="1.0" encoding="utf-8"?>
<formControlPr xmlns="http://schemas.microsoft.com/office/spreadsheetml/2009/9/main" objectType="Drop" dropLines="11" dropStyle="combo" dx="26" fmlaLink="CAM_N_AlreadyHaveSoftware" fmlaRange="Vars!$C$144:$C$153" noThreeD="1" sel="1" val="0"/>
</file>

<file path=xl/ctrlProps/ctrlProp84.xml><?xml version="1.0" encoding="utf-8"?>
<formControlPr xmlns="http://schemas.microsoft.com/office/spreadsheetml/2009/9/main" objectType="Drop" dropLines="21" dropStyle="combo" dx="26" fmlaLink="CAM_N_UpgradeUpdate" fmlaRange="Vars!$C$144:$C$164" noThreeD="1" sel="1" val="0"/>
</file>

<file path=xl/ctrlProps/ctrlProp85.xml><?xml version="1.0" encoding="utf-8"?>
<formControlPr xmlns="http://schemas.microsoft.com/office/spreadsheetml/2009/9/main" objectType="Drop" dropLines="11" dropStyle="combo" dx="26" fmlaLink="CAM_Option3" fmlaRange="Vars!$C$144:$C$146" noThreeD="1" sel="1" val="0"/>
</file>

<file path=xl/ctrlProps/ctrlProp86.xml><?xml version="1.0" encoding="utf-8"?>
<formControlPr xmlns="http://schemas.microsoft.com/office/spreadsheetml/2009/9/main" objectType="Drop" dropLines="11" dropStyle="combo" dx="26" fmlaLink="CAM_Option4" fmlaRange="Vars!$C$144:$C$146" noThreeD="1" sel="1" val="0"/>
</file>

<file path=xl/ctrlProps/ctrlProp87.xml><?xml version="1.0" encoding="utf-8"?>
<formControlPr xmlns="http://schemas.microsoft.com/office/spreadsheetml/2009/9/main" objectType="CheckBox" checked="Checked" fmlaLink="CAM_ClientWithOrWithoutScanner_ChkBox" lockText="1" noThreeD="1"/>
</file>

<file path=xl/ctrlProps/ctrlProp88.xml><?xml version="1.0" encoding="utf-8"?>
<formControlPr xmlns="http://schemas.microsoft.com/office/spreadsheetml/2009/9/main" objectType="Drop" dropLines="3" dropStyle="combo" dx="26" fmlaLink="CAM_IndexScanner" fmlaRange="Vars!$S$144:$S$146" noThreeD="1" sel="1" val="0"/>
</file>

<file path=xl/ctrlProps/ctrlProp89.xml><?xml version="1.0" encoding="utf-8"?>
<formControlPr xmlns="http://schemas.microsoft.com/office/spreadsheetml/2009/9/main" objectType="CheckBox" checked="Checked" fmlaLink="CAM_PosiOrBlueBG_Checkbox" lockText="1" noThreeD="1"/>
</file>

<file path=xl/ctrlProps/ctrlProp90.xml><?xml version="1.0" encoding="utf-8"?>
<formControlPr xmlns="http://schemas.microsoft.com/office/spreadsheetml/2009/9/main" objectType="Drop" dropStyle="combo" dx="26" fmlaLink="CAM_IndexClientVersion" fmlaRange="CAM_SoftwareList" sel="1" val="0"/>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Drop" dropLines="21" dropStyle="combo" dx="26" fmlaLink="DENDRO_N_System" fmlaRange="Vars!$C$144:$C$164" noThreeD="1" sel="1" val="0"/>
</file>

<file path=xl/ctrlProps/ctrlProp93.xml><?xml version="1.0" encoding="utf-8"?>
<formControlPr xmlns="http://schemas.microsoft.com/office/spreadsheetml/2009/9/main" objectType="Drop" dropStyle="combo" dx="26" fmlaLink="DENDRO_IndexClientVersion" fmlaRange="DENDRO_SoftwareList" sel="2" val="0"/>
</file>

<file path=xl/ctrlProps/ctrlProp94.xml><?xml version="1.0" encoding="utf-8"?>
<formControlPr xmlns="http://schemas.microsoft.com/office/spreadsheetml/2009/9/main" objectType="CheckBox" checked="Checked" fmlaLink="Checkbox_Instructions" lockText="1" noThreeD="1"/>
</file>

<file path=xl/ctrlProps/ctrlProp95.xml><?xml version="1.0" encoding="utf-8"?>
<formControlPr xmlns="http://schemas.microsoft.com/office/spreadsheetml/2009/9/main" objectType="Drop" dropLines="11" dropStyle="combo" dx="26" fmlaLink="DENDRO_OptionTPU" fmlaRange="Vars!$C$144:$C$154" noThreeD="1" sel="1" val="0"/>
</file>

<file path=xl/ctrlProps/ctrlProp96.xml><?xml version="1.0" encoding="utf-8"?>
<formControlPr xmlns="http://schemas.microsoft.com/office/spreadsheetml/2009/9/main" objectType="Drop" dropLines="11" dropStyle="combo" dx="26" fmlaLink="DENDRO_Option1" fmlaRange="Vars!$C$144:$C$154" noThreeD="1" sel="1" val="0"/>
</file>

<file path=xl/ctrlProps/ctrlProp97.xml><?xml version="1.0" encoding="utf-8"?>
<formControlPr xmlns="http://schemas.microsoft.com/office/spreadsheetml/2009/9/main" objectType="Drop" dropLines="11" dropStyle="combo" dx="26" fmlaLink="DENDRO_Option2" fmlaRange="Vars!$C$144:$C$154" noThreeD="1" sel="1" val="0"/>
</file>

<file path=xl/ctrlProps/ctrlProp98.xml><?xml version="1.0" encoding="utf-8"?>
<formControlPr xmlns="http://schemas.microsoft.com/office/spreadsheetml/2009/9/main" objectType="Drop" dropLines="11" dropStyle="combo" dx="26" fmlaLink="DENDRO_Option3" fmlaRange="Vars!$C$144:$C$154" noThreeD="1" sel="1" val="0"/>
</file>

<file path=xl/ctrlProps/ctrlProp99.xml><?xml version="1.0" encoding="utf-8"?>
<formControlPr xmlns="http://schemas.microsoft.com/office/spreadsheetml/2009/9/main" objectType="Drop" dropLines="11" dropStyle="combo" dx="26" fmlaLink="DENDRO_Option4" fmlaRange="Vars!$C$144:$C$154" noThreeD="1" sel="1" val="0"/>
</file>

<file path=xl/ctrlProps/ctrlProp100.xml><?xml version="1.0" encoding="utf-8"?>
<formControlPr xmlns="http://schemas.microsoft.com/office/spreadsheetml/2009/9/main" objectType="Drop" dropLines="11" dropStyle="combo" dx="26" fmlaLink="DENDRO_Option5" fmlaRange="Vars!$C$144:$C$154" noThreeD="1" sel="1" val="0"/>
</file>

<file path=xl/ctrlProps/ctrlProp101.xml><?xml version="1.0" encoding="utf-8"?>
<formControlPr xmlns="http://schemas.microsoft.com/office/spreadsheetml/2009/9/main" objectType="Drop" dropLines="11" dropStyle="combo" dx="26" fmlaLink="DENDRO_N_AlreadyHaveSoftware" fmlaRange="Vars!$C$144:$C$153" noThreeD="1" sel="1" val="0"/>
</file>

<file path=xl/ctrlProps/ctrlProp102.xml><?xml version="1.0" encoding="utf-8"?>
<formControlPr xmlns="http://schemas.microsoft.com/office/spreadsheetml/2009/9/main" objectType="Drop" dropStyle="combo" dx="26" fmlaLink="DENDRO_IndexSoftware" fmlaRange="DENDRO_SoftwareFullNames" sel="2" val="0"/>
</file>

<file path=xl/ctrlProps/ctrlProp103.xml><?xml version="1.0" encoding="utf-8"?>
<formControlPr xmlns="http://schemas.microsoft.com/office/spreadsheetml/2009/9/main" objectType="Drop" dropLines="21" dropStyle="combo" dx="26" fmlaLink="DENDRO_N_UpgradeUpdate" fmlaRange="Vars!$C$144:$C$164" noThreeD="1" sel="1" val="0"/>
</file>

<file path=xl/ctrlProps/ctrlProp104.xml><?xml version="1.0" encoding="utf-8"?>
<formControlPr xmlns="http://schemas.microsoft.com/office/spreadsheetml/2009/9/main" objectType="Drop" dropLines="21" dropStyle="combo" dx="26" fmlaLink="DENDRO_N_Software" fmlaRange="Vars!$C$144:$C$164" noThreeD="1" sel="1" val="0"/>
</file>

<file path=xl/ctrlProps/ctrlProp105.xml><?xml version="1.0" encoding="utf-8"?>
<formControlPr xmlns="http://schemas.microsoft.com/office/spreadsheetml/2009/9/main" objectType="CheckBox" checked="Checked" fmlaLink="DENDRO_ClientWithOrWithoutScanner_ChkBox" lockText="1" noThreeD="1"/>
</file>

<file path=xl/ctrlProps/ctrlProp106.xml><?xml version="1.0" encoding="utf-8"?>
<formControlPr xmlns="http://schemas.microsoft.com/office/spreadsheetml/2009/9/main" objectType="Drop" dropLines="3" dropStyle="combo" dx="26" fmlaLink="DENDRO_IndexScanner" fmlaRange="Vars!$S$144:$S$145" noThreeD="1" sel="1" val="0"/>
</file>

<file path=xl/ctrlProps/ctrlProp107.xml><?xml version="1.0" encoding="utf-8"?>
<formControlPr xmlns="http://schemas.microsoft.com/office/spreadsheetml/2009/9/main" objectType="CheckBox" checked="Checked" fmlaLink="Checkbox_Instructions"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Drop" dropLines="21" dropStyle="combo" dx="26" fmlaLink="CELL_N_Software" fmlaRange="Vars!$C$144:$C$164" noThreeD="1" sel="1" val="0"/>
</file>

<file path=xl/ctrlProps/ctrlProp110.xml><?xml version="1.0" encoding="utf-8"?>
<formControlPr xmlns="http://schemas.microsoft.com/office/spreadsheetml/2009/9/main" objectType="Drop" dropStyle="combo" dx="26" fmlaLink="CELL_IndexSoftware" fmlaRange="CELL_SoftwareFullNames" sel="2" val="0"/>
</file>

<file path=xl/ctrlProps/ctrlProp111.xml><?xml version="1.0" encoding="utf-8"?>
<formControlPr xmlns="http://schemas.microsoft.com/office/spreadsheetml/2009/9/main" objectType="Drop" dropLines="11" dropStyle="combo" dx="26" fmlaLink="CELL_N_AlreadyHaveSoftware" fmlaRange="Vars!$C$144:$C$153" noThreeD="1" sel="1" val="0"/>
</file>

<file path=xl/ctrlProps/ctrlProp112.xml><?xml version="1.0" encoding="utf-8"?>
<formControlPr xmlns="http://schemas.microsoft.com/office/spreadsheetml/2009/9/main" objectType="Drop" dropLines="21" dropStyle="combo" dx="26" fmlaLink="CELL_N_UpgradeUpdate" fmlaRange="Vars!$C$144:$C$164" noThreeD="1" sel="1" val="0"/>
</file>

<file path=xl/ctrlProps/ctrlProp113.xml><?xml version="1.0" encoding="utf-8"?>
<formControlPr xmlns="http://schemas.microsoft.com/office/spreadsheetml/2009/9/main" objectType="Drop" dropStyle="combo" dx="26" fmlaLink="CELL_IndexClientVersion" fmlaRange="CELL_SoftwareList" sel="2" val="0"/>
</file>

<file path=xl/ctrlProps/ctrlProp114.xml><?xml version="1.0" encoding="utf-8"?>
<formControlPr xmlns="http://schemas.microsoft.com/office/spreadsheetml/2009/9/main" objectType="CheckBox" checked="Checked" fmlaLink="Checkbox_Instructions"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Drop" dropStyle="combo" dx="26" fmlaLink="SCANOPY_IndexSoftware" fmlaRange="SCANOPY_SoftwareFullNames" sel="2" val="0"/>
</file>

<file path=xl/ctrlProps/ctrlProp117.xml><?xml version="1.0" encoding="utf-8"?>
<formControlPr xmlns="http://schemas.microsoft.com/office/spreadsheetml/2009/9/main" objectType="Drop" dropLines="21" dropStyle="combo" dx="26" fmlaLink="SCANOPY_N_Software" fmlaRange="Vars!$C$144:$C$164" noThreeD="1" sel="1" val="0"/>
</file>

<file path=xl/ctrlProps/ctrlProp118.xml><?xml version="1.0" encoding="utf-8"?>
<formControlPr xmlns="http://schemas.microsoft.com/office/spreadsheetml/2009/9/main" objectType="Drop" dropLines="21" dropStyle="combo" dx="26" fmlaLink="SCANOPY_N_System" fmlaRange="Vars!$C$144:$C$164" noThreeD="1" sel="1" val="0"/>
</file>

<file path=xl/ctrlProps/ctrlProp119.xml><?xml version="1.0" encoding="utf-8"?>
<formControlPr xmlns="http://schemas.microsoft.com/office/spreadsheetml/2009/9/main" objectType="Drop" dropStyle="combo" dx="26" fmlaLink="SCANOPY_IndexClientVersion" fmlaRange="SCANOPY_SoftwareList" sel="2" val="0"/>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Drop" dropLines="11" dropStyle="combo" dx="26" fmlaLink="SCANOPY_N_AlreadyHaveSoftware" fmlaRange="Vars!$C$144:$C$153" noThreeD="1" sel="1" val="0"/>
</file>

<file path=xl/ctrlProps/ctrlProp122.xml><?xml version="1.0" encoding="utf-8"?>
<formControlPr xmlns="http://schemas.microsoft.com/office/spreadsheetml/2009/9/main" objectType="Drop" dropLines="21" dropStyle="combo" dx="26" fmlaLink="SCANOPY_N_UpgradeUpdate" fmlaRange="Vars!$C$144:$C$164" noThreeD="1" sel="1" val="0"/>
</file>

<file path=xl/ctrlProps/ctrlProp123.xml><?xml version="1.0" encoding="utf-8"?>
<formControlPr xmlns="http://schemas.microsoft.com/office/spreadsheetml/2009/9/main" objectType="CheckBox" checked="Checked" fmlaLink="SCANOPY_Camera" lockText="1" noThreeD="1"/>
</file>

<file path=xl/ctrlProps/ctrlProp124.xml><?xml version="1.0" encoding="utf-8"?>
<formControlPr xmlns="http://schemas.microsoft.com/office/spreadsheetml/2009/9/main" objectType="Drop" dropLines="3" dropStyle="combo" dx="26" fmlaLink="SCANOPY_IndexScanner" fmlaRange="Vars!$T$144:$T$145" noThreeD="1" sel="1" val="0"/>
</file>

<file path=xl/ctrlProps/ctrlProp125.xml><?xml version="1.0" encoding="utf-8"?>
<formControlPr xmlns="http://schemas.microsoft.com/office/spreadsheetml/2009/9/main" objectType="CheckBox" fmlaLink="SCANOPY_CaseAndMount" lockText="1" noThreeD="1"/>
</file>

<file path=xl/ctrlProps/ctrlProp126.xml><?xml version="1.0" encoding="utf-8"?>
<formControlPr xmlns="http://schemas.microsoft.com/office/spreadsheetml/2009/9/main" objectType="CheckBox" fmlaLink="SCANOPY_BigTripod" lockText="1" noThreeD="1"/>
</file>

<file path=xl/ctrlProps/ctrlProp127.xml><?xml version="1.0" encoding="utf-8"?>
<formControlPr xmlns="http://schemas.microsoft.com/office/spreadsheetml/2009/9/main" objectType="CheckBox" fmlaLink="QUOTE_DetailedPrices" lockText="1"/>
</file>

<file path=xl/ctrlProps/ctrlProp128.xml><?xml version="1.0" encoding="utf-8"?>
<formControlPr xmlns="http://schemas.microsoft.com/office/spreadsheetml/2009/9/main" objectType="CheckBox" checked="Checked" fmlaLink="QUOTE_SameClient" lockText="1"/>
</file>

<file path=xl/ctrlProps/ctrlProp129.xml><?xml version="1.0" encoding="utf-8"?>
<formControlPr xmlns="http://schemas.microsoft.com/office/spreadsheetml/2009/9/main" objectType="CheckBox" fmlaLink="QUOTE_Split_SoftwareHardware" lockText="1"/>
</file>

<file path=xl/ctrlProps/ctrlProp130.xml><?xml version="1.0" encoding="utf-8"?>
<formControlPr xmlns="http://schemas.microsoft.com/office/spreadsheetml/2009/9/main" objectType="CheckBox" fmlaLink="QUOTE_FilledByCustomer" lockText="1"/>
</file>

<file path=xl/ctrlProps/ctrlProp131.xml><?xml version="1.0" encoding="utf-8"?>
<formControlPr xmlns="http://schemas.microsoft.com/office/spreadsheetml/2009/9/main" objectType="CheckBox" fmlaLink="QUOTE_InternetDownload"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CheckBox" checked="Checked" fmlaLink="Checkbox_EtiqShip1" lockText="1" noThreeD="1"/>
</file>

<file path=xl/ctrlProps/ctrlProp140.xml><?xml version="1.0" encoding="utf-8"?>
<formControlPr xmlns="http://schemas.microsoft.com/office/spreadsheetml/2009/9/main" objectType="CheckBox" checked="Checked" fmlaLink="Checkbox_EtiqShip2" lockText="1" noThreeD="1"/>
</file>

<file path=xl/ctrlProps/ctrlProp141.xml><?xml version="1.0" encoding="utf-8"?>
<formControlPr xmlns="http://schemas.microsoft.com/office/spreadsheetml/2009/9/main" objectType="CheckBox" checked="Checked" fmlaLink="Checkbox_EtiqShip3" lockText="1" noThreeD="1"/>
</file>

<file path=xl/ctrlProps/ctrlProp142.xml><?xml version="1.0" encoding="utf-8"?>
<formControlPr xmlns="http://schemas.microsoft.com/office/spreadsheetml/2009/9/main" objectType="CheckBox" checked="Checked" fmlaLink="Checkbox_EtiqShip4" lockText="1" noThreeD="1"/>
</file>

<file path=xl/ctrlProps/ctrlProp143.xml><?xml version="1.0" encoding="utf-8"?>
<formControlPr xmlns="http://schemas.microsoft.com/office/spreadsheetml/2009/9/main" objectType="CheckBox" checked="Checked" fmlaLink="Checkbox_EtiqShip5" lockText="1" noThreeD="1"/>
</file>

<file path=xl/ctrlProps/ctrlProp144.xml><?xml version="1.0" encoding="utf-8"?>
<formControlPr xmlns="http://schemas.microsoft.com/office/spreadsheetml/2009/9/main" objectType="CheckBox" checked="Checked" fmlaLink="Checkbox_EtiqShip6" lockText="1" noThreeD="1"/>
</file>

<file path=xl/ctrlProps/ctrlProp145.xml><?xml version="1.0" encoding="utf-8"?>
<formControlPr xmlns="http://schemas.microsoft.com/office/spreadsheetml/2009/9/main" objectType="CheckBox" fmlaLink="Francais" lockText="1" noThreeD="1"/>
</file>

<file path=xl/ctrlProps/ctrlProp146.xml><?xml version="1.0" encoding="utf-8"?>
<formControlPr xmlns="http://schemas.microsoft.com/office/spreadsheetml/2009/9/main" objectType="CheckBox" fmlaLink="Distributeurs_Rabais" lockText="1" noThreeD="1"/>
</file>

<file path=xl/ctrlProps/ctrlProp147.xml><?xml version="1.0" encoding="utf-8"?>
<formControlPr xmlns="http://schemas.microsoft.com/office/spreadsheetml/2009/9/main" objectType="CheckBox" fmlaLink="QUOTE_Split_SoftwareHardware" lockText="1"/>
</file>

<file path=xl/ctrlProps/ctrlProp148.xml><?xml version="1.0" encoding="utf-8"?>
<formControlPr xmlns="http://schemas.microsoft.com/office/spreadsheetml/2009/9/main" objectType="CheckBox" fmlaLink="QUOTE_InternetDownload" lockText="1"/>
</file>

<file path=xl/ctrlProps/ctrlProp149.xml><?xml version="1.0" encoding="utf-8"?>
<formControlPr xmlns="http://schemas.microsoft.com/office/spreadsheetml/2009/9/main" objectType="CheckBox" fmlaLink="QUOTE_Split_SoftwareHardware" lockText="1"/>
</file>

<file path=xl/ctrlProps/ctrlProp150.xml><?xml version="1.0" encoding="utf-8"?>
<formControlPr xmlns="http://schemas.microsoft.com/office/spreadsheetml/2009/9/main" objectType="CheckBox" fmlaLink="QUOTE_Split_SoftwareHardware" lockText="1"/>
</file>

<file path=xl/ctrlProps/ctrlProp151.xml><?xml version="1.0" encoding="utf-8"?>
<formControlPr xmlns="http://schemas.microsoft.com/office/spreadsheetml/2009/9/main" objectType="CheckBox" checked="Checked" fmlaLink="ShowStaticListPrice" lockText="1" noThreeD="1"/>
</file>

<file path=xl/ctrlProps/ctrlProp152.xml><?xml version="1.0" encoding="utf-8"?>
<formControlPr xmlns="http://schemas.microsoft.com/office/spreadsheetml/2009/9/main" objectType="CheckBox" checked="Checked" fmlaLink="ShowStaticListPrice"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png"/><Relationship Id="rId1" Type="http://schemas.openxmlformats.org/officeDocument/2006/relationships/image" Target="../media/image9.jpg"/><Relationship Id="rId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JPG"/></Relationships>
</file>

<file path=xl/drawings/_rels/drawing6.xml.rels><?xml version="1.0" encoding="UTF-8" standalone="yes"?>
<Relationships xmlns="http://schemas.openxmlformats.org/package/2006/relationships"><Relationship Id="rId1" Type="http://schemas.openxmlformats.org/officeDocument/2006/relationships/image" Target="../media/image16.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177800</xdr:colOff>
          <xdr:row>7</xdr:row>
          <xdr:rowOff>25400</xdr:rowOff>
        </xdr:from>
        <xdr:to>
          <xdr:col>15</xdr:col>
          <xdr:colOff>1117600</xdr:colOff>
          <xdr:row>7</xdr:row>
          <xdr:rowOff>177800</xdr:rowOff>
        </xdr:to>
        <xdr:sp macro="" textlink="">
          <xdr:nvSpPr>
            <xdr:cNvPr id="97282" name="Check Box SameAsBillTo" hidden="1">
              <a:extLst>
                <a:ext uri="{63B3BB69-23CF-44E3-9099-C40C66FF867C}">
                  <a14:compatExt spid="_x0000_s97282"/>
                </a:ext>
                <a:ext uri="{FF2B5EF4-FFF2-40B4-BE49-F238E27FC236}">
                  <a16:creationId xmlns:a16="http://schemas.microsoft.com/office/drawing/2014/main" id="{00000000-0008-0000-00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Same as Billing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3" name="Home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Vars!$C$175" spid="_x0000_s829654"/>
                </a:ext>
              </a:extLst>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5" name="HomeFr" hidden="1">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Vars!$C$176" spid="_x0000_s829655"/>
                </a:ext>
              </a:extLst>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2" name="HomeEnPasSameClient" hidden="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Vars!$C$177" spid="_x0000_s829656"/>
                </a:ext>
              </a:extLst>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3</xdr:row>
          <xdr:rowOff>0</xdr:rowOff>
        </xdr:from>
        <xdr:to>
          <xdr:col>17</xdr:col>
          <xdr:colOff>2148840</xdr:colOff>
          <xdr:row>4</xdr:row>
          <xdr:rowOff>19050</xdr:rowOff>
        </xdr:to>
        <xdr:pic>
          <xdr:nvPicPr>
            <xdr:cNvPr id="4" name="HomeFrPasSameClient" hidden="1">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Vars!$C$178" spid="_x0000_s829657"/>
                </a:ext>
              </a:extLst>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bwMode="auto">
            <a:xfrm>
              <a:off x="281940" y="733425"/>
              <a:ext cx="15220950" cy="3743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6569</xdr:colOff>
      <xdr:row>54</xdr:row>
      <xdr:rowOff>9525</xdr:rowOff>
    </xdr:from>
    <xdr:to>
      <xdr:col>31</xdr:col>
      <xdr:colOff>6569</xdr:colOff>
      <xdr:row>57</xdr:row>
      <xdr:rowOff>0</xdr:rowOff>
    </xdr:to>
    <xdr:sp macro="" textlink="">
      <xdr:nvSpPr>
        <xdr:cNvPr id="8" name="Textbox_Title2Fr" hidden="1">
          <a:extLst>
            <a:ext uri="{FF2B5EF4-FFF2-40B4-BE49-F238E27FC236}">
              <a16:creationId xmlns:a16="http://schemas.microsoft.com/office/drawing/2014/main" id="{00000000-0008-0000-0100-000008000000}"/>
            </a:ext>
          </a:extLst>
        </xdr:cNvPr>
        <xdr:cNvSpPr txBox="1"/>
      </xdr:nvSpPr>
      <xdr:spPr>
        <a:xfrm>
          <a:off x="735986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6349</xdr:colOff>
      <xdr:row>54</xdr:row>
      <xdr:rowOff>9525</xdr:rowOff>
    </xdr:from>
    <xdr:to>
      <xdr:col>13</xdr:col>
      <xdr:colOff>6349</xdr:colOff>
      <xdr:row>57</xdr:row>
      <xdr:rowOff>0</xdr:rowOff>
    </xdr:to>
    <xdr:sp macro="" textlink="">
      <xdr:nvSpPr>
        <xdr:cNvPr id="7" name="Textbox_Title1Fr" hidden="1">
          <a:extLst>
            <a:ext uri="{FF2B5EF4-FFF2-40B4-BE49-F238E27FC236}">
              <a16:creationId xmlns:a16="http://schemas.microsoft.com/office/drawing/2014/main" id="{00000000-0008-0000-0100-000007000000}"/>
            </a:ext>
          </a:extLst>
        </xdr:cNvPr>
        <xdr:cNvSpPr txBox="1"/>
      </xdr:nvSpPr>
      <xdr:spPr>
        <a:xfrm>
          <a:off x="63499" y="7429500"/>
          <a:ext cx="508635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LES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editAs="absolute">
    <xdr:from>
      <xdr:col>0</xdr:col>
      <xdr:colOff>20954</xdr:colOff>
      <xdr:row>2</xdr:row>
      <xdr:rowOff>63211</xdr:rowOff>
    </xdr:from>
    <xdr:to>
      <xdr:col>7</xdr:col>
      <xdr:colOff>97154</xdr:colOff>
      <xdr:row>9</xdr:row>
      <xdr:rowOff>79513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954" y="482311"/>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10</xdr:col>
      <xdr:colOff>293588</xdr:colOff>
      <xdr:row>114</xdr:row>
      <xdr:rowOff>33305</xdr:rowOff>
    </xdr:from>
    <xdr:to>
      <xdr:col>16</xdr:col>
      <xdr:colOff>722320</xdr:colOff>
      <xdr:row>116</xdr:row>
      <xdr:rowOff>18623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a:srcRect/>
        <a:stretch/>
      </xdr:blipFill>
      <xdr:spPr>
        <a:xfrm>
          <a:off x="4084538" y="19073780"/>
          <a:ext cx="3152882" cy="385368"/>
        </a:xfrm>
        <a:prstGeom prst="rect">
          <a:avLst/>
        </a:prstGeom>
      </xdr:spPr>
    </xdr:pic>
    <xdr:clientData/>
  </xdr:twoCellAnchor>
  <xdr:twoCellAnchor editAs="absolute">
    <xdr:from>
      <xdr:col>2</xdr:col>
      <xdr:colOff>89289</xdr:colOff>
      <xdr:row>0</xdr:row>
      <xdr:rowOff>0</xdr:rowOff>
    </xdr:from>
    <xdr:to>
      <xdr:col>5</xdr:col>
      <xdr:colOff>96992</xdr:colOff>
      <xdr:row>2</xdr:row>
      <xdr:rowOff>81471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1295" y="0"/>
          <a:ext cx="1123665" cy="501800"/>
        </a:xfrm>
        <a:prstGeom prst="rect">
          <a:avLst/>
        </a:prstGeom>
      </xdr:spPr>
    </xdr:pic>
    <xdr:clientData/>
  </xdr:twoCellAnchor>
  <xdr:twoCellAnchor>
    <xdr:from>
      <xdr:col>0</xdr:col>
      <xdr:colOff>0</xdr:colOff>
      <xdr:row>55</xdr:row>
      <xdr:rowOff>152333</xdr:rowOff>
    </xdr:from>
    <xdr:to>
      <xdr:col>12</xdr:col>
      <xdr:colOff>79742</xdr:colOff>
      <xdr:row>59</xdr:row>
      <xdr:rowOff>193608</xdr:rowOff>
    </xdr:to>
    <xdr:sp macro="" textlink="">
      <xdr:nvSpPr>
        <xdr:cNvPr id="13" name="Textbox_Comments1En">
          <a:extLst>
            <a:ext uri="{FF2B5EF4-FFF2-40B4-BE49-F238E27FC236}">
              <a16:creationId xmlns:a16="http://schemas.microsoft.com/office/drawing/2014/main" id="{00000000-0008-0000-0100-00000D000000}"/>
            </a:ext>
          </a:extLst>
        </xdr:cNvPr>
        <xdr:cNvSpPr txBox="1"/>
      </xdr:nvSpPr>
      <xdr:spPr>
        <a:xfrm>
          <a:off x="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xdr:from>
      <xdr:col>18</xdr:col>
      <xdr:colOff>0</xdr:colOff>
      <xdr:row>55</xdr:row>
      <xdr:rowOff>152333</xdr:rowOff>
    </xdr:from>
    <xdr:to>
      <xdr:col>30</xdr:col>
      <xdr:colOff>79742</xdr:colOff>
      <xdr:row>59</xdr:row>
      <xdr:rowOff>193608</xdr:rowOff>
    </xdr:to>
    <xdr:sp macro="" textlink="">
      <xdr:nvSpPr>
        <xdr:cNvPr id="42" name="Textbox_Comments2En">
          <a:extLst>
            <a:ext uri="{FF2B5EF4-FFF2-40B4-BE49-F238E27FC236}">
              <a16:creationId xmlns:a16="http://schemas.microsoft.com/office/drawing/2014/main" id="{00000000-0008-0000-0100-00002A000000}"/>
            </a:ext>
          </a:extLst>
        </xdr:cNvPr>
        <xdr:cNvSpPr txBox="1"/>
      </xdr:nvSpPr>
      <xdr:spPr>
        <a:xfrm>
          <a:off x="7296150" y="7638983"/>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solidFill>
                <a:sysClr val="windowText" lastClr="000000"/>
              </a:solidFill>
            </a:rPr>
            <a:t>Th</a:t>
          </a:r>
          <a:r>
            <a:rPr lang="en-CA" sz="750" b="0"/>
            <a:t>e courier (Fedex, UPS, DHL...) will hold merchandise at customs and contact you (by phone or email) to pay those fees. If paid, they will deliver, if not, they will return merchandise to sender or destroy it.</a:t>
          </a:r>
        </a:p>
        <a:p>
          <a:pPr>
            <a:lnSpc>
              <a:spcPts val="1100"/>
            </a:lnSpc>
          </a:pPr>
          <a:endParaRPr lang="en-CA" sz="850" b="0"/>
        </a:p>
      </xdr:txBody>
    </xdr:sp>
    <xdr:clientData/>
  </xdr:twoCellAnchor>
  <xdr:twoCellAnchor editAs="absolute">
    <xdr:from>
      <xdr:col>20</xdr:col>
      <xdr:colOff>91194</xdr:colOff>
      <xdr:row>0</xdr:row>
      <xdr:rowOff>0</xdr:rowOff>
    </xdr:from>
    <xdr:to>
      <xdr:col>23</xdr:col>
      <xdr:colOff>98897</xdr:colOff>
      <xdr:row>2</xdr:row>
      <xdr:rowOff>81471</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11</xdr:col>
      <xdr:colOff>3683</xdr:colOff>
      <xdr:row>1</xdr:row>
      <xdr:rowOff>1224</xdr:rowOff>
    </xdr:from>
    <xdr:to>
      <xdr:col>16</xdr:col>
      <xdr:colOff>723082</xdr:colOff>
      <xdr:row>7</xdr:row>
      <xdr:rowOff>5058</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4642585" y="266563"/>
          <a:ext cx="2594917"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29</xdr:col>
      <xdr:colOff>4455</xdr:colOff>
      <xdr:row>1</xdr:row>
      <xdr:rowOff>1224</xdr:rowOff>
    </xdr:from>
    <xdr:to>
      <xdr:col>35</xdr:col>
      <xdr:colOff>1905</xdr:colOff>
      <xdr:row>7</xdr:row>
      <xdr:rowOff>5058</xdr:rowOff>
    </xdr:to>
    <xdr:sp macro="" textlink="">
      <xdr:nvSpPr>
        <xdr:cNvPr id="45" name="Rectangle: Rounded Corners 44">
          <a:extLst>
            <a:ext uri="{FF2B5EF4-FFF2-40B4-BE49-F238E27FC236}">
              <a16:creationId xmlns:a16="http://schemas.microsoft.com/office/drawing/2014/main" id="{00000000-0008-0000-0100-00002D000000}"/>
            </a:ext>
          </a:extLst>
        </xdr:cNvPr>
        <xdr:cNvSpPr/>
      </xdr:nvSpPr>
      <xdr:spPr>
        <a:xfrm>
          <a:off x="11944723" y="266563"/>
          <a:ext cx="2593012" cy="922316"/>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18</xdr:col>
      <xdr:colOff>22860</xdr:colOff>
      <xdr:row>2</xdr:row>
      <xdr:rowOff>63211</xdr:rowOff>
    </xdr:from>
    <xdr:to>
      <xdr:col>26</xdr:col>
      <xdr:colOff>671677</xdr:colOff>
      <xdr:row>9</xdr:row>
      <xdr:rowOff>79513</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3</xdr:col>
      <xdr:colOff>206152</xdr:colOff>
      <xdr:row>61</xdr:row>
      <xdr:rowOff>29424</xdr:rowOff>
    </xdr:from>
    <xdr:to>
      <xdr:col>5</xdr:col>
      <xdr:colOff>391040</xdr:colOff>
      <xdr:row>62</xdr:row>
      <xdr:rowOff>41330</xdr:rowOff>
    </xdr:to>
    <xdr:sp macro="" textlink="AccountNumber">
      <xdr:nvSpPr>
        <xdr:cNvPr id="18" name="Textbox_AccountNumber1">
          <a:extLst>
            <a:ext uri="{FF2B5EF4-FFF2-40B4-BE49-F238E27FC236}">
              <a16:creationId xmlns:a16="http://schemas.microsoft.com/office/drawing/2014/main" id="{00000000-0008-0000-0100-000012000000}"/>
            </a:ext>
          </a:extLst>
        </xdr:cNvPr>
        <xdr:cNvSpPr txBox="1"/>
      </xdr:nvSpPr>
      <xdr:spPr>
        <a:xfrm>
          <a:off x="799423" y="8716224"/>
          <a:ext cx="1044860"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0</xdr:col>
      <xdr:colOff>0</xdr:colOff>
      <xdr:row>59</xdr:row>
      <xdr:rowOff>200024</xdr:rowOff>
    </xdr:from>
    <xdr:to>
      <xdr:col>14</xdr:col>
      <xdr:colOff>7620</xdr:colOff>
      <xdr:row>65</xdr:row>
      <xdr:rowOff>6349</xdr:rowOff>
    </xdr:to>
    <xdr:sp macro="" textlink="">
      <xdr:nvSpPr>
        <xdr:cNvPr id="17" name="Textbox_BankInfo1En">
          <a:extLst>
            <a:ext uri="{FF2B5EF4-FFF2-40B4-BE49-F238E27FC236}">
              <a16:creationId xmlns:a16="http://schemas.microsoft.com/office/drawing/2014/main" id="{00000000-0008-0000-0100-000011000000}"/>
            </a:ext>
          </a:extLst>
        </xdr:cNvPr>
        <xdr:cNvSpPr txBox="1"/>
      </xdr:nvSpPr>
      <xdr:spPr>
        <a:xfrm>
          <a:off x="0" y="8420099"/>
          <a:ext cx="555117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14</xdr:col>
      <xdr:colOff>12016</xdr:colOff>
      <xdr:row>65</xdr:row>
      <xdr:rowOff>6349</xdr:rowOff>
    </xdr:to>
    <xdr:sp macro="" textlink="">
      <xdr:nvSpPr>
        <xdr:cNvPr id="19" name="Textbox_BankInfo1Fr" hidden="1">
          <a:extLst>
            <a:ext uri="{FF2B5EF4-FFF2-40B4-BE49-F238E27FC236}">
              <a16:creationId xmlns:a16="http://schemas.microsoft.com/office/drawing/2014/main" id="{00000000-0008-0000-0100-000013000000}"/>
            </a:ext>
          </a:extLst>
        </xdr:cNvPr>
        <xdr:cNvSpPr txBox="1"/>
      </xdr:nvSpPr>
      <xdr:spPr>
        <a:xfrm>
          <a:off x="0"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21</xdr:col>
      <xdr:colOff>205132</xdr:colOff>
      <xdr:row>61</xdr:row>
      <xdr:rowOff>29424</xdr:rowOff>
    </xdr:from>
    <xdr:to>
      <xdr:col>23</xdr:col>
      <xdr:colOff>386107</xdr:colOff>
      <xdr:row>62</xdr:row>
      <xdr:rowOff>38949</xdr:rowOff>
    </xdr:to>
    <xdr:sp macro="" textlink="AccountNumber">
      <xdr:nvSpPr>
        <xdr:cNvPr id="11" name="Textbox_AccountNumber2">
          <a:extLst>
            <a:ext uri="{FF2B5EF4-FFF2-40B4-BE49-F238E27FC236}">
              <a16:creationId xmlns:a16="http://schemas.microsoft.com/office/drawing/2014/main" id="{00000000-0008-0000-0100-00000B000000}"/>
            </a:ext>
          </a:extLst>
        </xdr:cNvPr>
        <xdr:cNvSpPr txBox="1"/>
      </xdr:nvSpPr>
      <xdr:spPr>
        <a:xfrm>
          <a:off x="8124489" y="8716224"/>
          <a:ext cx="104094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17</xdr:col>
      <xdr:colOff>55126</xdr:colOff>
      <xdr:row>59</xdr:row>
      <xdr:rowOff>200024</xdr:rowOff>
    </xdr:from>
    <xdr:to>
      <xdr:col>32</xdr:col>
      <xdr:colOff>7270</xdr:colOff>
      <xdr:row>65</xdr:row>
      <xdr:rowOff>6349</xdr:rowOff>
    </xdr:to>
    <xdr:sp macro="" textlink="">
      <xdr:nvSpPr>
        <xdr:cNvPr id="27" name="Textbox_BankInfo2En">
          <a:extLst>
            <a:ext uri="{FF2B5EF4-FFF2-40B4-BE49-F238E27FC236}">
              <a16:creationId xmlns:a16="http://schemas.microsoft.com/office/drawing/2014/main" id="{00000000-0008-0000-0100-00001B000000}"/>
            </a:ext>
          </a:extLst>
        </xdr:cNvPr>
        <xdr:cNvSpPr txBox="1"/>
      </xdr:nvSpPr>
      <xdr:spPr>
        <a:xfrm>
          <a:off x="7294126" y="8420099"/>
          <a:ext cx="5552844"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18</xdr:col>
      <xdr:colOff>697</xdr:colOff>
      <xdr:row>59</xdr:row>
      <xdr:rowOff>200024</xdr:rowOff>
    </xdr:from>
    <xdr:to>
      <xdr:col>32</xdr:col>
      <xdr:colOff>12713</xdr:colOff>
      <xdr:row>65</xdr:row>
      <xdr:rowOff>6349</xdr:rowOff>
    </xdr:to>
    <xdr:sp macro="" textlink="">
      <xdr:nvSpPr>
        <xdr:cNvPr id="15" name="Textbox_BankInfo2Fr" hidden="1">
          <a:extLst>
            <a:ext uri="{FF2B5EF4-FFF2-40B4-BE49-F238E27FC236}">
              <a16:creationId xmlns:a16="http://schemas.microsoft.com/office/drawing/2014/main" id="{00000000-0008-0000-0100-00000F000000}"/>
            </a:ext>
          </a:extLst>
        </xdr:cNvPr>
        <xdr:cNvSpPr txBox="1"/>
      </xdr:nvSpPr>
      <xdr:spPr>
        <a:xfrm>
          <a:off x="7296847" y="8420099"/>
          <a:ext cx="555556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xdr:twoCellAnchor editAs="oneCell">
    <xdr:from>
      <xdr:col>1</xdr:col>
      <xdr:colOff>171554</xdr:colOff>
      <xdr:row>69</xdr:row>
      <xdr:rowOff>74842</xdr:rowOff>
    </xdr:from>
    <xdr:to>
      <xdr:col>5</xdr:col>
      <xdr:colOff>159362</xdr:colOff>
      <xdr:row>72</xdr:row>
      <xdr:rowOff>183427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rcRect/>
        <a:stretch/>
      </xdr:blipFill>
      <xdr:spPr>
        <a:xfrm>
          <a:off x="228704" y="10114192"/>
          <a:ext cx="1378458" cy="708660"/>
        </a:xfrm>
        <a:prstGeom prst="rect">
          <a:avLst/>
        </a:prstGeom>
      </xdr:spPr>
    </xdr:pic>
    <xdr:clientData/>
  </xdr:twoCellAnchor>
  <xdr:twoCellAnchor>
    <xdr:from>
      <xdr:col>0</xdr:col>
      <xdr:colOff>0</xdr:colOff>
      <xdr:row>55</xdr:row>
      <xdr:rowOff>152334</xdr:rowOff>
    </xdr:from>
    <xdr:to>
      <xdr:col>13</xdr:col>
      <xdr:colOff>6569</xdr:colOff>
      <xdr:row>60</xdr:row>
      <xdr:rowOff>33130</xdr:rowOff>
    </xdr:to>
    <xdr:sp macro="" textlink="">
      <xdr:nvSpPr>
        <xdr:cNvPr id="23" name="Textbox_Comments1Fr" hidden="1">
          <a:extLst>
            <a:ext uri="{FF2B5EF4-FFF2-40B4-BE49-F238E27FC236}">
              <a16:creationId xmlns:a16="http://schemas.microsoft.com/office/drawing/2014/main" id="{00000000-0008-0000-0100-000017000000}"/>
            </a:ext>
          </a:extLst>
        </xdr:cNvPr>
        <xdr:cNvSpPr txBox="1"/>
      </xdr:nvSpPr>
      <xdr:spPr>
        <a:xfrm>
          <a:off x="0" y="7594972"/>
          <a:ext cx="5182914" cy="80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a:t>
          </a:r>
          <a:r>
            <a:rPr lang="en-CA" sz="850" b="1">
              <a:solidFill>
                <a:sysClr val="windowText" lastClr="000000"/>
              </a:solidFill>
            </a:rPr>
            <a:t> </a:t>
          </a:r>
          <a:r>
            <a:rPr lang="en-CA" sz="750" b="1">
              <a:solidFill>
                <a:sysClr val="windowText" lastClr="000000"/>
              </a:solidFill>
            </a:rPr>
            <a:t>taxes locales, TVA, frais de courtage et le dédouanement ou</a:t>
          </a:r>
          <a:r>
            <a:rPr lang="en-CA" sz="750" b="1" baseline="0">
              <a:solidFill>
                <a:sysClr val="windowText" lastClr="000000"/>
              </a:solidFill>
            </a:rPr>
            <a:t> tout autre frais imposé par le pays importateur</a:t>
          </a:r>
          <a:r>
            <a:rPr lang="en-CA" sz="750" b="1">
              <a:solidFill>
                <a:sysClr val="windowText" lastClr="000000"/>
              </a:solidFill>
            </a:rPr>
            <a:t>. </a:t>
          </a:r>
          <a:r>
            <a:rPr lang="en-CA" sz="750" b="0"/>
            <a:t>Le transporteur (Fedex, UPS, DHL...)</a:t>
          </a:r>
          <a:r>
            <a:rPr lang="en-CA" sz="750" b="0" baseline="0"/>
            <a:t> retiendra la marchandise à la douane et vous contactera (par téléphone ou courriel) pour vous demander de payer ces frais. S'ils sont payés, ils livrent, sinon ils renvoient la  				marchandise à l'expéditeur ou la détruisent.</a:t>
          </a:r>
          <a:endParaRPr lang="en-CA" sz="750" b="0"/>
        </a:p>
      </xdr:txBody>
    </xdr:sp>
    <xdr:clientData/>
  </xdr:twoCellAnchor>
  <xdr:twoCellAnchor>
    <xdr:from>
      <xdr:col>18</xdr:col>
      <xdr:colOff>0</xdr:colOff>
      <xdr:row>55</xdr:row>
      <xdr:rowOff>152332</xdr:rowOff>
    </xdr:from>
    <xdr:to>
      <xdr:col>30</xdr:col>
      <xdr:colOff>402980</xdr:colOff>
      <xdr:row>60</xdr:row>
      <xdr:rowOff>38099</xdr:rowOff>
    </xdr:to>
    <xdr:sp macro="" textlink="">
      <xdr:nvSpPr>
        <xdr:cNvPr id="24" name="Textbox_Comments2Fr" hidden="1">
          <a:extLst>
            <a:ext uri="{FF2B5EF4-FFF2-40B4-BE49-F238E27FC236}">
              <a16:creationId xmlns:a16="http://schemas.microsoft.com/office/drawing/2014/main" id="{00000000-0008-0000-0100-000018000000}"/>
            </a:ext>
          </a:extLst>
        </xdr:cNvPr>
        <xdr:cNvSpPr txBox="1"/>
      </xdr:nvSpPr>
      <xdr:spPr>
        <a:xfrm>
          <a:off x="7297615" y="7647774"/>
          <a:ext cx="5136173" cy="80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a:t>
          </a:r>
          <a:r>
            <a:rPr lang="en-CA" sz="750" b="0"/>
            <a:t>Le 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59</xdr:row>
          <xdr:rowOff>176267</xdr:rowOff>
        </xdr:from>
        <xdr:to>
          <xdr:col>16</xdr:col>
          <xdr:colOff>657225</xdr:colOff>
          <xdr:row>60</xdr:row>
          <xdr:rowOff>184715</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a:extLst>
                <a:ext uri="{84589F7E-364E-4C9E-8A38-B11213B215E9}">
                  <a14:cameraTool cellRange="FLAGS_IndexMatch" spid="_x0000_s774630"/>
                </a:ext>
              </a:extLst>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5942135" y="8397075"/>
              <a:ext cx="1228725" cy="2062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6</xdr:row>
          <xdr:rowOff>25400</xdr:rowOff>
        </xdr:from>
        <xdr:to>
          <xdr:col>9</xdr:col>
          <xdr:colOff>127000</xdr:colOff>
          <xdr:row>7</xdr:row>
          <xdr:rowOff>25400</xdr:rowOff>
        </xdr:to>
        <xdr:sp macro="" textlink="">
          <xdr:nvSpPr>
            <xdr:cNvPr id="98311" name="CheckBoxInternetDownload" descr="Detailed Prices" hidden="1">
              <a:extLst>
                <a:ext uri="{63B3BB69-23CF-44E3-9099-C40C66FF867C}">
                  <a14:compatExt spid="_x0000_s98311"/>
                </a:ext>
                <a:ext uri="{FF2B5EF4-FFF2-40B4-BE49-F238E27FC236}">
                  <a16:creationId xmlns:a16="http://schemas.microsoft.com/office/drawing/2014/main" id="{00000000-0008-0000-0100-000007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25400</xdr:rowOff>
        </xdr:from>
        <xdr:to>
          <xdr:col>7</xdr:col>
          <xdr:colOff>127000</xdr:colOff>
          <xdr:row>7</xdr:row>
          <xdr:rowOff>25400</xdr:rowOff>
        </xdr:to>
        <xdr:sp macro="" textlink="">
          <xdr:nvSpPr>
            <xdr:cNvPr id="98307" name="CheckboxSoftwareHardware" descr="Detailed Prices" hidden="1">
              <a:extLst>
                <a:ext uri="{63B3BB69-23CF-44E3-9099-C40C66FF867C}">
                  <a14:compatExt spid="_x0000_s98307"/>
                </a:ext>
                <a:ext uri="{FF2B5EF4-FFF2-40B4-BE49-F238E27FC236}">
                  <a16:creationId xmlns:a16="http://schemas.microsoft.com/office/drawing/2014/main" id="{00000000-0008-0000-0100-000003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6350</xdr:colOff>
      <xdr:row>55</xdr:row>
      <xdr:rowOff>0</xdr:rowOff>
    </xdr:from>
    <xdr:to>
      <xdr:col>13</xdr:col>
      <xdr:colOff>6350</xdr:colOff>
      <xdr:row>56</xdr:row>
      <xdr:rowOff>82471</xdr:rowOff>
    </xdr:to>
    <xdr:sp macro="" textlink="">
      <xdr:nvSpPr>
        <xdr:cNvPr id="5" name="Textbox_Title1En">
          <a:extLst>
            <a:ext uri="{FF2B5EF4-FFF2-40B4-BE49-F238E27FC236}">
              <a16:creationId xmlns:a16="http://schemas.microsoft.com/office/drawing/2014/main" id="{00000000-0008-0000-0100-000005000000}"/>
            </a:ext>
          </a:extLst>
        </xdr:cNvPr>
        <xdr:cNvSpPr txBox="1"/>
      </xdr:nvSpPr>
      <xdr:spPr>
        <a:xfrm>
          <a:off x="635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xdr:from>
      <xdr:col>19</xdr:col>
      <xdr:colOff>0</xdr:colOff>
      <xdr:row>55</xdr:row>
      <xdr:rowOff>0</xdr:rowOff>
    </xdr:from>
    <xdr:to>
      <xdr:col>31</xdr:col>
      <xdr:colOff>0</xdr:colOff>
      <xdr:row>56</xdr:row>
      <xdr:rowOff>82471</xdr:rowOff>
    </xdr:to>
    <xdr:sp macro="" textlink="">
      <xdr:nvSpPr>
        <xdr:cNvPr id="10" name="Textbox_Title2En">
          <a:extLst>
            <a:ext uri="{FF2B5EF4-FFF2-40B4-BE49-F238E27FC236}">
              <a16:creationId xmlns:a16="http://schemas.microsoft.com/office/drawing/2014/main" id="{00000000-0008-0000-0100-00000A000000}"/>
            </a:ext>
          </a:extLst>
        </xdr:cNvPr>
        <xdr:cNvSpPr txBox="1"/>
      </xdr:nvSpPr>
      <xdr:spPr>
        <a:xfrm>
          <a:off x="7353300" y="7486650"/>
          <a:ext cx="5086350" cy="282496"/>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editAs="oneCell">
        <xdr:from>
          <xdr:col>8</xdr:col>
          <xdr:colOff>787400</xdr:colOff>
          <xdr:row>4</xdr:row>
          <xdr:rowOff>12700</xdr:rowOff>
        </xdr:from>
        <xdr:to>
          <xdr:col>9</xdr:col>
          <xdr:colOff>127000</xdr:colOff>
          <xdr:row>5</xdr:row>
          <xdr:rowOff>12700</xdr:rowOff>
        </xdr:to>
        <xdr:sp macro="" textlink="">
          <xdr:nvSpPr>
            <xdr:cNvPr id="774461" name="CheckboxBureaucracy" descr="Detailed Prices" hidden="1">
              <a:extLst>
                <a:ext uri="{63B3BB69-23CF-44E3-9099-C40C66FF867C}">
                  <a14:compatExt spid="_x0000_s774461"/>
                </a:ext>
                <a:ext uri="{FF2B5EF4-FFF2-40B4-BE49-F238E27FC236}">
                  <a16:creationId xmlns:a16="http://schemas.microsoft.com/office/drawing/2014/main" id="{00000000-0008-0000-0100-00003DD1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5155</xdr:colOff>
      <xdr:row>54</xdr:row>
      <xdr:rowOff>9799</xdr:rowOff>
    </xdr:from>
    <xdr:to>
      <xdr:col>33</xdr:col>
      <xdr:colOff>11505</xdr:colOff>
      <xdr:row>57</xdr:row>
      <xdr:rowOff>274</xdr:rowOff>
    </xdr:to>
    <xdr:sp macro="" textlink="">
      <xdr:nvSpPr>
        <xdr:cNvPr id="19" name="Textbox_Title2Fr" hidden="1">
          <a:extLst>
            <a:ext uri="{FF2B5EF4-FFF2-40B4-BE49-F238E27FC236}">
              <a16:creationId xmlns:a16="http://schemas.microsoft.com/office/drawing/2014/main" id="{00000000-0008-0000-0200-000013000000}"/>
            </a:ext>
          </a:extLst>
        </xdr:cNvPr>
        <xdr:cNvSpPr txBox="1"/>
      </xdr:nvSpPr>
      <xdr:spPr>
        <a:xfrm>
          <a:off x="7358455" y="7429774"/>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4330</xdr:colOff>
      <xdr:row>54</xdr:row>
      <xdr:rowOff>8660</xdr:rowOff>
    </xdr:from>
    <xdr:to>
      <xdr:col>14</xdr:col>
      <xdr:colOff>10680</xdr:colOff>
      <xdr:row>56</xdr:row>
      <xdr:rowOff>199160</xdr:rowOff>
    </xdr:to>
    <xdr:sp macro="" textlink="">
      <xdr:nvSpPr>
        <xdr:cNvPr id="18" name="Textbox_Title1Fr" hidden="1">
          <a:extLst>
            <a:ext uri="{FF2B5EF4-FFF2-40B4-BE49-F238E27FC236}">
              <a16:creationId xmlns:a16="http://schemas.microsoft.com/office/drawing/2014/main" id="{00000000-0008-0000-0200-000012000000}"/>
            </a:ext>
          </a:extLst>
        </xdr:cNvPr>
        <xdr:cNvSpPr txBox="1"/>
      </xdr:nvSpPr>
      <xdr:spPr>
        <a:xfrm>
          <a:off x="61480" y="7428635"/>
          <a:ext cx="5283200" cy="4572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1</xdr:col>
      <xdr:colOff>2381</xdr:colOff>
      <xdr:row>55</xdr:row>
      <xdr:rowOff>0</xdr:rowOff>
    </xdr:from>
    <xdr:to>
      <xdr:col>14</xdr:col>
      <xdr:colOff>6350</xdr:colOff>
      <xdr:row>56</xdr:row>
      <xdr:rowOff>81486</xdr:rowOff>
    </xdr:to>
    <xdr:sp macro="" textlink="">
      <xdr:nvSpPr>
        <xdr:cNvPr id="16" name="Textbox_Title1En">
          <a:extLst>
            <a:ext uri="{FF2B5EF4-FFF2-40B4-BE49-F238E27FC236}">
              <a16:creationId xmlns:a16="http://schemas.microsoft.com/office/drawing/2014/main" id="{00000000-0008-0000-0200-000010000000}"/>
            </a:ext>
          </a:extLst>
        </xdr:cNvPr>
        <xdr:cNvSpPr txBox="1"/>
      </xdr:nvSpPr>
      <xdr:spPr>
        <a:xfrm>
          <a:off x="59531" y="7486650"/>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20955</xdr:colOff>
      <xdr:row>2</xdr:row>
      <xdr:rowOff>63211</xdr:rowOff>
    </xdr:from>
    <xdr:to>
      <xdr:col>8</xdr:col>
      <xdr:colOff>97155</xdr:colOff>
      <xdr:row>9</xdr:row>
      <xdr:rowOff>79513</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0955"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11</xdr:col>
      <xdr:colOff>293589</xdr:colOff>
      <xdr:row>114</xdr:row>
      <xdr:rowOff>33308</xdr:rowOff>
    </xdr:from>
    <xdr:to>
      <xdr:col>17</xdr:col>
      <xdr:colOff>722321</xdr:colOff>
      <xdr:row>116</xdr:row>
      <xdr:rowOff>18626</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1"/>
        <a:srcRect/>
        <a:stretch/>
      </xdr:blipFill>
      <xdr:spPr>
        <a:xfrm>
          <a:off x="4084539" y="19083308"/>
          <a:ext cx="3152882" cy="385368"/>
        </a:xfrm>
        <a:prstGeom prst="rect">
          <a:avLst/>
        </a:prstGeom>
      </xdr:spPr>
    </xdr:pic>
    <xdr:clientData/>
  </xdr:twoCellAnchor>
  <xdr:twoCellAnchor editAs="absolute">
    <xdr:from>
      <xdr:col>2</xdr:col>
      <xdr:colOff>89289</xdr:colOff>
      <xdr:row>0</xdr:row>
      <xdr:rowOff>0</xdr:rowOff>
    </xdr:from>
    <xdr:to>
      <xdr:col>5</xdr:col>
      <xdr:colOff>173192</xdr:colOff>
      <xdr:row>2</xdr:row>
      <xdr:rowOff>81471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329" y="0"/>
          <a:ext cx="1127843" cy="500571"/>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4627890" y="267924"/>
          <a:ext cx="257301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xdr:from>
      <xdr:col>0</xdr:col>
      <xdr:colOff>0</xdr:colOff>
      <xdr:row>55</xdr:row>
      <xdr:rowOff>152333</xdr:rowOff>
    </xdr:from>
    <xdr:to>
      <xdr:col>13</xdr:col>
      <xdr:colOff>584638</xdr:colOff>
      <xdr:row>59</xdr:row>
      <xdr:rowOff>193608</xdr:rowOff>
    </xdr:to>
    <xdr:sp macro="" textlink="">
      <xdr:nvSpPr>
        <xdr:cNvPr id="6" name="Textbox_Comments1En">
          <a:extLst>
            <a:ext uri="{FF2B5EF4-FFF2-40B4-BE49-F238E27FC236}">
              <a16:creationId xmlns:a16="http://schemas.microsoft.com/office/drawing/2014/main" id="{00000000-0008-0000-0200-000006000000}"/>
            </a:ext>
          </a:extLst>
        </xdr:cNvPr>
        <xdr:cNvSpPr txBox="1"/>
      </xdr:nvSpPr>
      <xdr:spPr>
        <a:xfrm>
          <a:off x="0" y="7594971"/>
          <a:ext cx="5360276" cy="763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18</xdr:col>
      <xdr:colOff>58614</xdr:colOff>
      <xdr:row>55</xdr:row>
      <xdr:rowOff>152333</xdr:rowOff>
    </xdr:from>
    <xdr:to>
      <xdr:col>32</xdr:col>
      <xdr:colOff>593480</xdr:colOff>
      <xdr:row>59</xdr:row>
      <xdr:rowOff>193608</xdr:rowOff>
    </xdr:to>
    <xdr:sp macro="" textlink="">
      <xdr:nvSpPr>
        <xdr:cNvPr id="9" name="Textbox_Comments2En">
          <a:extLst>
            <a:ext uri="{FF2B5EF4-FFF2-40B4-BE49-F238E27FC236}">
              <a16:creationId xmlns:a16="http://schemas.microsoft.com/office/drawing/2014/main" id="{00000000-0008-0000-0200-000009000000}"/>
            </a:ext>
          </a:extLst>
        </xdr:cNvPr>
        <xdr:cNvSpPr txBox="1"/>
      </xdr:nvSpPr>
      <xdr:spPr>
        <a:xfrm>
          <a:off x="7290287" y="7655102"/>
          <a:ext cx="5319347" cy="766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5474" y="0"/>
          <a:ext cx="1127843" cy="500571"/>
        </a:xfrm>
        <a:prstGeom prst="rect">
          <a:avLst/>
        </a:prstGeom>
      </xdr:spPr>
    </xdr:pic>
    <xdr:clientData/>
  </xdr:twoCellAnchor>
  <xdr:twoCellAnchor editAs="absolute">
    <xdr:from>
      <xdr:col>31</xdr:col>
      <xdr:colOff>4455</xdr:colOff>
      <xdr:row>1</xdr:row>
      <xdr:rowOff>1224</xdr:rowOff>
    </xdr:from>
    <xdr:to>
      <xdr:col>36</xdr:col>
      <xdr:colOff>721894</xdr:colOff>
      <xdr:row>7</xdr:row>
      <xdr:rowOff>5058</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1884035" y="267924"/>
          <a:ext cx="257110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7277100" y="482311"/>
          <a:ext cx="330057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oneCell">
    <xdr:from>
      <xdr:col>1</xdr:col>
      <xdr:colOff>171554</xdr:colOff>
      <xdr:row>69</xdr:row>
      <xdr:rowOff>74842</xdr:rowOff>
    </xdr:from>
    <xdr:to>
      <xdr:col>5</xdr:col>
      <xdr:colOff>235562</xdr:colOff>
      <xdr:row>72</xdr:row>
      <xdr:rowOff>183427</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srcRect/>
        <a:stretch/>
      </xdr:blipFill>
      <xdr:spPr>
        <a:xfrm>
          <a:off x="228704" y="10123717"/>
          <a:ext cx="1378458" cy="708660"/>
        </a:xfrm>
        <a:prstGeom prst="rect">
          <a:avLst/>
        </a:prstGeom>
      </xdr:spPr>
    </xdr:pic>
    <xdr:clientData/>
  </xdr:twoCellAnchor>
  <xdr:twoCellAnchor>
    <xdr:from>
      <xdr:col>0</xdr:col>
      <xdr:colOff>1</xdr:colOff>
      <xdr:row>55</xdr:row>
      <xdr:rowOff>152332</xdr:rowOff>
    </xdr:from>
    <xdr:to>
      <xdr:col>13</xdr:col>
      <xdr:colOff>479535</xdr:colOff>
      <xdr:row>60</xdr:row>
      <xdr:rowOff>47624</xdr:rowOff>
    </xdr:to>
    <xdr:sp macro="" textlink="">
      <xdr:nvSpPr>
        <xdr:cNvPr id="23" name="Textbox_Comments1Fr" hidden="1">
          <a:extLst>
            <a:ext uri="{FF2B5EF4-FFF2-40B4-BE49-F238E27FC236}">
              <a16:creationId xmlns:a16="http://schemas.microsoft.com/office/drawing/2014/main" id="{00000000-0008-0000-0200-000017000000}"/>
            </a:ext>
          </a:extLst>
        </xdr:cNvPr>
        <xdr:cNvSpPr txBox="1"/>
      </xdr:nvSpPr>
      <xdr:spPr>
        <a:xfrm>
          <a:off x="1" y="7594970"/>
          <a:ext cx="5255172" cy="81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la  				marchandise à l'expéditeur ou la détruisent.</a:t>
          </a:r>
          <a:endParaRPr lang="en-CA" sz="850" b="0"/>
        </a:p>
      </xdr:txBody>
    </xdr:sp>
    <xdr:clientData/>
  </xdr:twoCellAnchor>
  <xdr:twoCellAnchor>
    <xdr:from>
      <xdr:col>19</xdr:col>
      <xdr:colOff>1</xdr:colOff>
      <xdr:row>55</xdr:row>
      <xdr:rowOff>152333</xdr:rowOff>
    </xdr:from>
    <xdr:to>
      <xdr:col>32</xdr:col>
      <xdr:colOff>545225</xdr:colOff>
      <xdr:row>60</xdr:row>
      <xdr:rowOff>17318</xdr:rowOff>
    </xdr:to>
    <xdr:sp macro="" textlink="">
      <xdr:nvSpPr>
        <xdr:cNvPr id="24" name="Textbox_Comments2Fr" hidden="1">
          <a:extLst>
            <a:ext uri="{FF2B5EF4-FFF2-40B4-BE49-F238E27FC236}">
              <a16:creationId xmlns:a16="http://schemas.microsoft.com/office/drawing/2014/main" id="{00000000-0008-0000-0200-000018000000}"/>
            </a:ext>
          </a:extLst>
        </xdr:cNvPr>
        <xdr:cNvSpPr txBox="1"/>
      </xdr:nvSpPr>
      <xdr:spPr>
        <a:xfrm>
          <a:off x="7330967" y="7594971"/>
          <a:ext cx="5320861" cy="78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la  				marchandise à l'expéditeur ou la détruisent.</a:t>
          </a:r>
        </a:p>
      </xdr:txBody>
    </xdr:sp>
    <xdr:clientData/>
  </xdr:twoCellAnchor>
  <xdr:twoCellAnchor>
    <xdr:from>
      <xdr:col>4</xdr:col>
      <xdr:colOff>28633</xdr:colOff>
      <xdr:row>42</xdr:row>
      <xdr:rowOff>31709</xdr:rowOff>
    </xdr:from>
    <xdr:to>
      <xdr:col>15</xdr:col>
      <xdr:colOff>359228</xdr:colOff>
      <xdr:row>47</xdr:row>
      <xdr:rowOff>54428</xdr:rowOff>
    </xdr:to>
    <xdr:sp macro="" textlink="Vars!C180">
      <xdr:nvSpPr>
        <xdr:cNvPr id="22" name="Textbox_Paid" hidden="1">
          <a:extLst>
            <a:ext uri="{FF2B5EF4-FFF2-40B4-BE49-F238E27FC236}">
              <a16:creationId xmlns:a16="http://schemas.microsoft.com/office/drawing/2014/main" id="{00000000-0008-0000-0200-000016000000}"/>
            </a:ext>
          </a:extLst>
        </xdr:cNvPr>
        <xdr:cNvSpPr txBox="1"/>
      </xdr:nvSpPr>
      <xdr:spPr>
        <a:xfrm>
          <a:off x="888604" y="5871895"/>
          <a:ext cx="5038667" cy="703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PAID IN FULL
Amount due: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99342" name="CheckboxSoftwareHardware" descr="Detailed Prices" hidden="1">
              <a:extLst>
                <a:ext uri="{63B3BB69-23CF-44E3-9099-C40C66FF867C}">
                  <a14:compatExt spid="_x0000_s99342"/>
                </a:ext>
                <a:ext uri="{FF2B5EF4-FFF2-40B4-BE49-F238E27FC236}">
                  <a16:creationId xmlns:a16="http://schemas.microsoft.com/office/drawing/2014/main" id="{00000000-0008-0000-02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99344" name="CheckBoxInternetDownload" descr="Detailed Prices" hidden="1">
              <a:extLst>
                <a:ext uri="{63B3BB69-23CF-44E3-9099-C40C66FF867C}">
                  <a14:compatExt spid="_x0000_s99344"/>
                </a:ext>
                <a:ext uri="{FF2B5EF4-FFF2-40B4-BE49-F238E27FC236}">
                  <a16:creationId xmlns:a16="http://schemas.microsoft.com/office/drawing/2014/main" id="{00000000-0008-0000-02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0</xdr:colOff>
      <xdr:row>47</xdr:row>
      <xdr:rowOff>104775</xdr:rowOff>
    </xdr:from>
    <xdr:to>
      <xdr:col>15</xdr:col>
      <xdr:colOff>330272</xdr:colOff>
      <xdr:row>51</xdr:row>
      <xdr:rowOff>50176</xdr:rowOff>
    </xdr:to>
    <xdr:sp macro="" textlink="">
      <xdr:nvSpPr>
        <xdr:cNvPr id="5" name="Textbox_AdvancePayment" hidden="1">
          <a:extLst>
            <a:ext uri="{FF2B5EF4-FFF2-40B4-BE49-F238E27FC236}">
              <a16:creationId xmlns:a16="http://schemas.microsoft.com/office/drawing/2014/main" id="{00000000-0008-0000-0200-000005000000}"/>
            </a:ext>
          </a:extLst>
        </xdr:cNvPr>
        <xdr:cNvSpPr txBox="1"/>
      </xdr:nvSpPr>
      <xdr:spPr>
        <a:xfrm>
          <a:off x="857250" y="6591300"/>
          <a:ext cx="5016572" cy="47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800" b="1">
              <a:solidFill>
                <a:srgbClr val="92D050"/>
              </a:solidFill>
              <a:effectLst/>
              <a:latin typeface="+mn-lt"/>
              <a:ea typeface="+mn-ea"/>
              <a:cs typeface="+mn-cs"/>
            </a:rPr>
            <a:t>Émis pour Paiement d'Avance</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59</xdr:row>
          <xdr:rowOff>180975</xdr:rowOff>
        </xdr:from>
        <xdr:to>
          <xdr:col>17</xdr:col>
          <xdr:colOff>644405</xdr:colOff>
          <xdr:row>60</xdr:row>
          <xdr:rowOff>189423</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a:extLst>
                <a:ext uri="{84589F7E-364E-4C9E-8A38-B11213B215E9}">
                  <a14:cameraTool cellRange="FLAGS_IndexMatch" spid="_x0000_s773610"/>
                </a:ext>
              </a:extLst>
            </xdr:cNvPicPr>
          </xdr:nvPicPr>
          <xdr:blipFill>
            <a:blip xmlns:r="http://schemas.openxmlformats.org/officeDocument/2006/relationships" r:embed="rId4"/>
            <a:srcRect/>
            <a:stretch>
              <a:fillRect/>
            </a:stretch>
          </xdr:blipFill>
          <xdr:spPr bwMode="auto">
            <a:xfrm>
              <a:off x="5943600" y="8401050"/>
              <a:ext cx="1215905" cy="20847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20</xdr:col>
      <xdr:colOff>4761</xdr:colOff>
      <xdr:row>55</xdr:row>
      <xdr:rowOff>0</xdr:rowOff>
    </xdr:from>
    <xdr:to>
      <xdr:col>33</xdr:col>
      <xdr:colOff>7142</xdr:colOff>
      <xdr:row>56</xdr:row>
      <xdr:rowOff>81486</xdr:rowOff>
    </xdr:to>
    <xdr:sp macro="" textlink="">
      <xdr:nvSpPr>
        <xdr:cNvPr id="17" name="Textbox_Title2En">
          <a:extLst>
            <a:ext uri="{FF2B5EF4-FFF2-40B4-BE49-F238E27FC236}">
              <a16:creationId xmlns:a16="http://schemas.microsoft.com/office/drawing/2014/main" id="{00000000-0008-0000-0200-000011000000}"/>
            </a:ext>
          </a:extLst>
        </xdr:cNvPr>
        <xdr:cNvSpPr txBox="1"/>
      </xdr:nvSpPr>
      <xdr:spPr>
        <a:xfrm>
          <a:off x="7358061" y="7486650"/>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99333" name="Button 5" hidden="1">
              <a:extLst>
                <a:ext uri="{63B3BB69-23CF-44E3-9099-C40C66FF867C}">
                  <a14:compatExt spid="_x0000_s99333"/>
                </a:ext>
                <a:ext uri="{FF2B5EF4-FFF2-40B4-BE49-F238E27FC236}">
                  <a16:creationId xmlns:a16="http://schemas.microsoft.com/office/drawing/2014/main" id="{00000000-0008-0000-0200-000005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63500</xdr:colOff>
          <xdr:row>55</xdr:row>
          <xdr:rowOff>25400</xdr:rowOff>
        </xdr:from>
        <xdr:to>
          <xdr:col>10</xdr:col>
          <xdr:colOff>25400</xdr:colOff>
          <xdr:row>55</xdr:row>
          <xdr:rowOff>177800</xdr:rowOff>
        </xdr:to>
        <xdr:sp macro="" textlink="">
          <xdr:nvSpPr>
            <xdr:cNvPr id="99370" name="Button 42" hidden="1">
              <a:extLst>
                <a:ext uri="{63B3BB69-23CF-44E3-9099-C40C66FF867C}">
                  <a14:compatExt spid="_x0000_s99370"/>
                </a:ext>
                <a:ext uri="{FF2B5EF4-FFF2-40B4-BE49-F238E27FC236}">
                  <a16:creationId xmlns:a16="http://schemas.microsoft.com/office/drawing/2014/main" id="{00000000-0008-0000-0200-00002A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Pour $ d'avance</a:t>
              </a:r>
            </a:p>
          </xdr:txBody>
        </xdr:sp>
        <xdr:clientData fPrintsWithSheet="0"/>
      </xdr:twoCellAnchor>
    </mc:Choice>
    <mc:Fallback/>
  </mc:AlternateContent>
  <xdr:twoCellAnchor>
    <xdr:from>
      <xdr:col>3</xdr:col>
      <xdr:colOff>213378</xdr:colOff>
      <xdr:row>61</xdr:row>
      <xdr:rowOff>26468</xdr:rowOff>
    </xdr:from>
    <xdr:to>
      <xdr:col>6</xdr:col>
      <xdr:colOff>211050</xdr:colOff>
      <xdr:row>62</xdr:row>
      <xdr:rowOff>28849</xdr:rowOff>
    </xdr:to>
    <xdr:sp macro="" textlink="AccountNumber">
      <xdr:nvSpPr>
        <xdr:cNvPr id="8" name="Textbox_AccountNumber1">
          <a:extLst>
            <a:ext uri="{FF2B5EF4-FFF2-40B4-BE49-F238E27FC236}">
              <a16:creationId xmlns:a16="http://schemas.microsoft.com/office/drawing/2014/main" id="{00000000-0008-0000-0200-000008000000}"/>
            </a:ext>
          </a:extLst>
        </xdr:cNvPr>
        <xdr:cNvSpPr txBox="1"/>
      </xdr:nvSpPr>
      <xdr:spPr>
        <a:xfrm>
          <a:off x="803928" y="8646593"/>
          <a:ext cx="1045422"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0</xdr:col>
      <xdr:colOff>0</xdr:colOff>
      <xdr:row>60</xdr:row>
      <xdr:rowOff>2955</xdr:rowOff>
    </xdr:from>
    <xdr:to>
      <xdr:col>15</xdr:col>
      <xdr:colOff>41122</xdr:colOff>
      <xdr:row>64</xdr:row>
      <xdr:rowOff>28355</xdr:rowOff>
    </xdr:to>
    <xdr:sp macro="" textlink="">
      <xdr:nvSpPr>
        <xdr:cNvPr id="10" name="Textbox_BankInfo1En">
          <a:extLst>
            <a:ext uri="{FF2B5EF4-FFF2-40B4-BE49-F238E27FC236}">
              <a16:creationId xmlns:a16="http://schemas.microsoft.com/office/drawing/2014/main" id="{00000000-0008-0000-0200-00000A000000}"/>
            </a:ext>
          </a:extLst>
        </xdr:cNvPr>
        <xdr:cNvSpPr txBox="1"/>
      </xdr:nvSpPr>
      <xdr:spPr>
        <a:xfrm>
          <a:off x="0" y="8423055"/>
          <a:ext cx="5584672"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     ↑                          ↑             ↑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59</xdr:row>
      <xdr:rowOff>200024</xdr:rowOff>
    </xdr:from>
    <xdr:to>
      <xdr:col>15</xdr:col>
      <xdr:colOff>45518</xdr:colOff>
      <xdr:row>64</xdr:row>
      <xdr:rowOff>25399</xdr:rowOff>
    </xdr:to>
    <xdr:sp macro="" textlink="">
      <xdr:nvSpPr>
        <xdr:cNvPr id="14" name="Textbox_BankInfo1Fr" hidden="1">
          <a:extLst>
            <a:ext uri="{FF2B5EF4-FFF2-40B4-BE49-F238E27FC236}">
              <a16:creationId xmlns:a16="http://schemas.microsoft.com/office/drawing/2014/main" id="{00000000-0008-0000-0200-00000E000000}"/>
            </a:ext>
          </a:extLst>
        </xdr:cNvPr>
        <xdr:cNvSpPr txBox="1"/>
      </xdr:nvSpPr>
      <xdr:spPr>
        <a:xfrm>
          <a:off x="0" y="8420099"/>
          <a:ext cx="5589068"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xdr:txBody>
    </xdr:sp>
    <xdr:clientData/>
  </xdr:twoCellAnchor>
  <xdr:twoCellAnchor>
    <xdr:from>
      <xdr:col>22</xdr:col>
      <xdr:colOff>247173</xdr:colOff>
      <xdr:row>61</xdr:row>
      <xdr:rowOff>26468</xdr:rowOff>
    </xdr:from>
    <xdr:to>
      <xdr:col>25</xdr:col>
      <xdr:colOff>240933</xdr:colOff>
      <xdr:row>62</xdr:row>
      <xdr:rowOff>26468</xdr:rowOff>
    </xdr:to>
    <xdr:sp macro="" textlink="AccountNumber">
      <xdr:nvSpPr>
        <xdr:cNvPr id="27" name="Textbox_AccountNumber2">
          <a:extLst>
            <a:ext uri="{FF2B5EF4-FFF2-40B4-BE49-F238E27FC236}">
              <a16:creationId xmlns:a16="http://schemas.microsoft.com/office/drawing/2014/main" id="{00000000-0008-0000-0200-00001B000000}"/>
            </a:ext>
          </a:extLst>
        </xdr:cNvPr>
        <xdr:cNvSpPr txBox="1"/>
      </xdr:nvSpPr>
      <xdr:spPr>
        <a:xfrm>
          <a:off x="8133873" y="8646593"/>
          <a:ext cx="10415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19</xdr:col>
      <xdr:colOff>30821</xdr:colOff>
      <xdr:row>60</xdr:row>
      <xdr:rowOff>2955</xdr:rowOff>
    </xdr:from>
    <xdr:to>
      <xdr:col>34</xdr:col>
      <xdr:colOff>75587</xdr:colOff>
      <xdr:row>64</xdr:row>
      <xdr:rowOff>28355</xdr:rowOff>
    </xdr:to>
    <xdr:sp macro="" textlink="">
      <xdr:nvSpPr>
        <xdr:cNvPr id="28" name="Textbox_BankInfo2En">
          <a:extLst>
            <a:ext uri="{FF2B5EF4-FFF2-40B4-BE49-F238E27FC236}">
              <a16:creationId xmlns:a16="http://schemas.microsoft.com/office/drawing/2014/main" id="{00000000-0008-0000-0200-00001C000000}"/>
            </a:ext>
          </a:extLst>
        </xdr:cNvPr>
        <xdr:cNvSpPr txBox="1"/>
      </xdr:nvSpPr>
      <xdr:spPr>
        <a:xfrm>
          <a:off x="7326971" y="8423055"/>
          <a:ext cx="5588316"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     ↑                          ↑             ↑ </a:t>
          </a:r>
        </a:p>
        <a:p>
          <a:pPr eaLnBrk="1" fontAlgn="auto" latinLnBrk="0" hangingPunct="1">
            <a:lnSpc>
              <a:spcPts val="900"/>
            </a:lnSpc>
          </a:pPr>
          <a:r>
            <a:rPr lang="en-US" sz="850" b="0" i="1" baseline="0">
              <a:solidFill>
                <a:schemeClr val="dk1"/>
              </a:solidFill>
              <a:effectLst/>
              <a:latin typeface="+mn-lt"/>
              <a:ea typeface="+mn-ea"/>
              <a:cs typeface="+mn-cs"/>
            </a:rPr>
            <a:t>Financial               Transit#   Account#</a:t>
          </a:r>
        </a:p>
        <a:p>
          <a:pPr eaLnBrk="1" fontAlgn="auto" latinLnBrk="0" hangingPunct="1">
            <a:lnSpc>
              <a:spcPts val="900"/>
            </a:lnSpc>
          </a:pPr>
          <a:r>
            <a:rPr lang="en-US" sz="850" b="0" i="1" baseline="0">
              <a:solidFill>
                <a:schemeClr val="dk1"/>
              </a:solidFill>
              <a:effectLst/>
              <a:latin typeface="+mn-lt"/>
              <a:ea typeface="+mn-ea"/>
              <a:cs typeface="+mn-cs"/>
            </a:rPr>
            <a:t>institution#          (branch)</a:t>
          </a:r>
        </a:p>
      </xdr:txBody>
    </xdr:sp>
    <xdr:clientData/>
  </xdr:twoCellAnchor>
  <xdr:twoCellAnchor>
    <xdr:from>
      <xdr:col>19</xdr:col>
      <xdr:colOff>35513</xdr:colOff>
      <xdr:row>59</xdr:row>
      <xdr:rowOff>200024</xdr:rowOff>
    </xdr:from>
    <xdr:to>
      <xdr:col>34</xdr:col>
      <xdr:colOff>81030</xdr:colOff>
      <xdr:row>64</xdr:row>
      <xdr:rowOff>25399</xdr:rowOff>
    </xdr:to>
    <xdr:sp macro="" textlink="">
      <xdr:nvSpPr>
        <xdr:cNvPr id="29" name="Textbox_BankInfo2Fr" hidden="1">
          <a:extLst>
            <a:ext uri="{FF2B5EF4-FFF2-40B4-BE49-F238E27FC236}">
              <a16:creationId xmlns:a16="http://schemas.microsoft.com/office/drawing/2014/main" id="{00000000-0008-0000-0200-00001D000000}"/>
            </a:ext>
          </a:extLst>
        </xdr:cNvPr>
        <xdr:cNvSpPr txBox="1"/>
      </xdr:nvSpPr>
      <xdr:spPr>
        <a:xfrm>
          <a:off x="7331663" y="8420099"/>
          <a:ext cx="5589067"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p>
        <a:p>
          <a:pPr eaLnBrk="1" fontAlgn="auto" latinLnBrk="0" hangingPunct="1">
            <a:lnSpc>
              <a:spcPts val="900"/>
            </a:lnSpc>
          </a:pPr>
          <a:r>
            <a:rPr lang="en-CA" sz="850">
              <a:effectLst/>
            </a:rPr>
            <a:t>     ↑                          ↑             ↑ </a:t>
          </a:r>
        </a:p>
        <a:p>
          <a:pPr eaLnBrk="1" fontAlgn="auto" latinLnBrk="0" hangingPunct="1">
            <a:lnSpc>
              <a:spcPts val="900"/>
            </a:lnSpc>
          </a:pPr>
          <a:r>
            <a:rPr lang="en-US" sz="850" b="0" i="1" baseline="0">
              <a:solidFill>
                <a:schemeClr val="dk1"/>
              </a:solidFill>
              <a:effectLst/>
              <a:latin typeface="+mn-lt"/>
              <a:ea typeface="+mn-ea"/>
              <a:cs typeface="+mn-cs"/>
            </a:rPr>
            <a:t>#Institution         #Transit   #Compte</a:t>
          </a:r>
        </a:p>
        <a:p>
          <a:pPr eaLnBrk="1" fontAlgn="auto" latinLnBrk="0" hangingPunct="1">
            <a:lnSpc>
              <a:spcPts val="900"/>
            </a:lnSpc>
          </a:pPr>
          <a:r>
            <a:rPr lang="en-US" sz="850" b="0" i="1" baseline="0">
              <a:solidFill>
                <a:schemeClr val="dk1"/>
              </a:solidFill>
              <a:effectLst/>
              <a:latin typeface="+mn-lt"/>
              <a:ea typeface="+mn-ea"/>
              <a:cs typeface="+mn-cs"/>
            </a:rPr>
            <a:t>financière         (succursale)</a:t>
          </a:r>
        </a:p>
        <a:p>
          <a:pPr>
            <a:lnSpc>
              <a:spcPts val="900"/>
            </a:lnSpc>
          </a:pPr>
          <a:endParaRPr lang="en-US" sz="850"/>
        </a:p>
      </xdr:txBody>
    </xdr:sp>
    <xdr:clientData/>
  </xdr:twoCellAnchor>
  <mc:AlternateContent xmlns:mc="http://schemas.openxmlformats.org/markup-compatibility/2006">
    <mc:Choice xmlns:a14="http://schemas.microsoft.com/office/drawing/2010/main" Requires="a14">
      <xdr:twoCellAnchor editAs="oneCell">
        <xdr:from>
          <xdr:col>9</xdr:col>
          <xdr:colOff>787400</xdr:colOff>
          <xdr:row>4</xdr:row>
          <xdr:rowOff>12700</xdr:rowOff>
        </xdr:from>
        <xdr:to>
          <xdr:col>10</xdr:col>
          <xdr:colOff>127000</xdr:colOff>
          <xdr:row>5</xdr:row>
          <xdr:rowOff>12700</xdr:rowOff>
        </xdr:to>
        <xdr:sp macro="" textlink="">
          <xdr:nvSpPr>
            <xdr:cNvPr id="773455" name="CheckboxBureaucracy" descr="Detailed Prices" hidden="1">
              <a:extLst>
                <a:ext uri="{63B3BB69-23CF-44E3-9099-C40C66FF867C}">
                  <a14:compatExt spid="_x0000_s773455"/>
                </a:ext>
                <a:ext uri="{FF2B5EF4-FFF2-40B4-BE49-F238E27FC236}">
                  <a16:creationId xmlns:a16="http://schemas.microsoft.com/office/drawing/2014/main" id="{00000000-0008-0000-0200-00004FCD0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2384" name="CheckBoxDetails" hidden="1">
              <a:extLst>
                <a:ext uri="{63B3BB69-23CF-44E3-9099-C40C66FF867C}">
                  <a14:compatExt spid="_x0000_s12384"/>
                </a:ext>
                <a:ext uri="{FF2B5EF4-FFF2-40B4-BE49-F238E27FC236}">
                  <a16:creationId xmlns:a16="http://schemas.microsoft.com/office/drawing/2014/main" id="{00000000-0008-0000-0500-0000603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9522620" y="0"/>
          <a:ext cx="85963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12357" name="CheckBoxDetails"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2365" name="DropDown_N_UpgradeUpdate"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2374" name="Drop Down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2380" name="DropDown_IndexClientVersion" hidden="1">
              <a:extLst>
                <a:ext uri="{63B3BB69-23CF-44E3-9099-C40C66FF867C}">
                  <a14:compatExt spid="_x0000_s12380"/>
                </a:ext>
                <a:ext uri="{FF2B5EF4-FFF2-40B4-BE49-F238E27FC236}">
                  <a16:creationId xmlns:a16="http://schemas.microsoft.com/office/drawing/2014/main" id="{00000000-0008-0000-05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2383" name="Drop Down 95" hidden="1">
              <a:extLst>
                <a:ext uri="{63B3BB69-23CF-44E3-9099-C40C66FF867C}">
                  <a14:compatExt spid="_x0000_s12383"/>
                </a:ext>
                <a:ext uri="{FF2B5EF4-FFF2-40B4-BE49-F238E27FC236}">
                  <a16:creationId xmlns:a16="http://schemas.microsoft.com/office/drawing/2014/main" id="{00000000-0008-0000-05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2388" name="Drop Down 100" hidden="1">
              <a:extLst>
                <a:ext uri="{63B3BB69-23CF-44E3-9099-C40C66FF867C}">
                  <a14:compatExt spid="_x0000_s12388"/>
                </a:ext>
                <a:ext uri="{FF2B5EF4-FFF2-40B4-BE49-F238E27FC236}">
                  <a16:creationId xmlns:a16="http://schemas.microsoft.com/office/drawing/2014/main" id="{00000000-0008-0000-05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2387" name="Drop Down 99" hidden="1">
              <a:extLst>
                <a:ext uri="{63B3BB69-23CF-44E3-9099-C40C66FF867C}">
                  <a14:compatExt spid="_x0000_s12387"/>
                </a:ext>
                <a:ext uri="{FF2B5EF4-FFF2-40B4-BE49-F238E27FC236}">
                  <a16:creationId xmlns:a16="http://schemas.microsoft.com/office/drawing/2014/main" id="{00000000-0008-0000-05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2394" name="Drop Down 106" hidden="1">
              <a:extLst>
                <a:ext uri="{63B3BB69-23CF-44E3-9099-C40C66FF867C}">
                  <a14:compatExt spid="_x0000_s12394"/>
                </a:ext>
                <a:ext uri="{FF2B5EF4-FFF2-40B4-BE49-F238E27FC236}">
                  <a16:creationId xmlns:a16="http://schemas.microsoft.com/office/drawing/2014/main" id="{00000000-0008-0000-05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2396" name="Drop Down 108" hidden="1">
              <a:extLst>
                <a:ext uri="{63B3BB69-23CF-44E3-9099-C40C66FF867C}">
                  <a14:compatExt spid="_x0000_s12396"/>
                </a:ext>
                <a:ext uri="{FF2B5EF4-FFF2-40B4-BE49-F238E27FC236}">
                  <a16:creationId xmlns:a16="http://schemas.microsoft.com/office/drawing/2014/main" id="{00000000-0008-0000-05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749300</xdr:colOff>
          <xdr:row>15</xdr:row>
          <xdr:rowOff>25400</xdr:rowOff>
        </xdr:to>
        <xdr:sp macro="" textlink="">
          <xdr:nvSpPr>
            <xdr:cNvPr id="12397" name="ScannerCheckbox" hidden="1">
              <a:extLst>
                <a:ext uri="{63B3BB69-23CF-44E3-9099-C40C66FF867C}">
                  <a14:compatExt spid="_x0000_s12397"/>
                </a:ext>
                <a:ext uri="{FF2B5EF4-FFF2-40B4-BE49-F238E27FC236}">
                  <a16:creationId xmlns:a16="http://schemas.microsoft.com/office/drawing/2014/main" id="{00000000-0008-0000-05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2406" name="DropDown_IndexScanner" hidden="1">
              <a:extLst>
                <a:ext uri="{63B3BB69-23CF-44E3-9099-C40C66FF867C}">
                  <a14:compatExt spid="_x0000_s12406"/>
                </a:ext>
                <a:ext uri="{FF2B5EF4-FFF2-40B4-BE49-F238E27FC236}">
                  <a16:creationId xmlns:a16="http://schemas.microsoft.com/office/drawing/2014/main" id="{00000000-0008-0000-05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12407" name="PosiOrBlueBG_Checkbox" hidden="1">
              <a:extLst>
                <a:ext uri="{63B3BB69-23CF-44E3-9099-C40C66FF867C}">
                  <a14:compatExt spid="_x0000_s12407"/>
                </a:ext>
                <a:ext uri="{FF2B5EF4-FFF2-40B4-BE49-F238E27FC236}">
                  <a16:creationId xmlns:a16="http://schemas.microsoft.com/office/drawing/2014/main" id="{00000000-0008-0000-05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2415" name="Drop Down 127" hidden="1">
              <a:extLst>
                <a:ext uri="{63B3BB69-23CF-44E3-9099-C40C66FF867C}">
                  <a14:compatExt spid="_x0000_s12415"/>
                </a:ext>
                <a:ext uri="{FF2B5EF4-FFF2-40B4-BE49-F238E27FC236}">
                  <a16:creationId xmlns:a16="http://schemas.microsoft.com/office/drawing/2014/main" id="{00000000-0008-0000-05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12416" name="Drop Down 128" hidden="1">
              <a:extLst>
                <a:ext uri="{63B3BB69-23CF-44E3-9099-C40C66FF867C}">
                  <a14:compatExt spid="_x0000_s12416"/>
                </a:ext>
                <a:ext uri="{FF2B5EF4-FFF2-40B4-BE49-F238E27FC236}">
                  <a16:creationId xmlns:a16="http://schemas.microsoft.com/office/drawing/2014/main" id="{00000000-0008-0000-05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12417" name="Drop Down 129" hidden="1">
              <a:extLst>
                <a:ext uri="{63B3BB69-23CF-44E3-9099-C40C66FF867C}">
                  <a14:compatExt spid="_x0000_s12417"/>
                </a:ext>
                <a:ext uri="{FF2B5EF4-FFF2-40B4-BE49-F238E27FC236}">
                  <a16:creationId xmlns:a16="http://schemas.microsoft.com/office/drawing/2014/main" id="{00000000-0008-0000-05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12418" name="Drop Down 130" hidden="1">
              <a:extLst>
                <a:ext uri="{63B3BB69-23CF-44E3-9099-C40C66FF867C}">
                  <a14:compatExt spid="_x0000_s12418"/>
                </a:ext>
                <a:ext uri="{FF2B5EF4-FFF2-40B4-BE49-F238E27FC236}">
                  <a16:creationId xmlns:a16="http://schemas.microsoft.com/office/drawing/2014/main" id="{00000000-0008-0000-05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2419" name="Drop Down 131" hidden="1">
              <a:extLst>
                <a:ext uri="{63B3BB69-23CF-44E3-9099-C40C66FF867C}">
                  <a14:compatExt spid="_x0000_s12419"/>
                </a:ext>
                <a:ext uri="{FF2B5EF4-FFF2-40B4-BE49-F238E27FC236}">
                  <a16:creationId xmlns:a16="http://schemas.microsoft.com/office/drawing/2014/main" id="{00000000-0008-0000-05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12420" name="Drop Down 132" hidden="1">
              <a:extLst>
                <a:ext uri="{63B3BB69-23CF-44E3-9099-C40C66FF867C}">
                  <a14:compatExt spid="_x0000_s12420"/>
                </a:ext>
                <a:ext uri="{FF2B5EF4-FFF2-40B4-BE49-F238E27FC236}">
                  <a16:creationId xmlns:a16="http://schemas.microsoft.com/office/drawing/2014/main" id="{00000000-0008-0000-05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12421" name="Drop Down 133" hidden="1">
              <a:extLst>
                <a:ext uri="{63B3BB69-23CF-44E3-9099-C40C66FF867C}">
                  <a14:compatExt spid="_x0000_s12421"/>
                </a:ext>
                <a:ext uri="{FF2B5EF4-FFF2-40B4-BE49-F238E27FC236}">
                  <a16:creationId xmlns:a16="http://schemas.microsoft.com/office/drawing/2014/main" id="{00000000-0008-0000-05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12422" name="Drop Down 134" hidden="1">
              <a:extLst>
                <a:ext uri="{63B3BB69-23CF-44E3-9099-C40C66FF867C}">
                  <a14:compatExt spid="_x0000_s12422"/>
                </a:ext>
                <a:ext uri="{FF2B5EF4-FFF2-40B4-BE49-F238E27FC236}">
                  <a16:creationId xmlns:a16="http://schemas.microsoft.com/office/drawing/2014/main" id="{00000000-0008-0000-05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12423" name="Drop Down 135" hidden="1">
              <a:extLst>
                <a:ext uri="{63B3BB69-23CF-44E3-9099-C40C66FF867C}">
                  <a14:compatExt spid="_x0000_s12423"/>
                </a:ext>
                <a:ext uri="{FF2B5EF4-FFF2-40B4-BE49-F238E27FC236}">
                  <a16:creationId xmlns:a16="http://schemas.microsoft.com/office/drawing/2014/main" id="{00000000-0008-0000-05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r="48586"/>
        <a:stretch/>
      </xdr:blipFill>
      <xdr:spPr>
        <a:xfrm>
          <a:off x="12833350" y="5930900"/>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l="53030"/>
        <a:stretch/>
      </xdr:blipFill>
      <xdr:spPr>
        <a:xfrm>
          <a:off x="12839699" y="6943725"/>
          <a:ext cx="1476375" cy="91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68609" name="CheckBoxDetails" hidden="1">
              <a:extLst>
                <a:ext uri="{63B3BB69-23CF-44E3-9099-C40C66FF867C}">
                  <a14:compatExt spid="_x0000_s68609"/>
                </a:ext>
                <a:ext uri="{FF2B5EF4-FFF2-40B4-BE49-F238E27FC236}">
                  <a16:creationId xmlns:a16="http://schemas.microsoft.com/office/drawing/2014/main" id="{00000000-0008-0000-0600-0000010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68611" name="CheckBoxDetails" hidden="1">
              <a:extLst>
                <a:ext uri="{63B3BB69-23CF-44E3-9099-C40C66FF867C}">
                  <a14:compatExt spid="_x0000_s68611"/>
                </a:ext>
                <a:ext uri="{FF2B5EF4-FFF2-40B4-BE49-F238E27FC236}">
                  <a16:creationId xmlns:a16="http://schemas.microsoft.com/office/drawing/2014/main" id="{00000000-0008-0000-06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68612" name="Drop Down 4" hidden="1">
              <a:extLst>
                <a:ext uri="{63B3BB69-23CF-44E3-9099-C40C66FF867C}">
                  <a14:compatExt spid="_x0000_s68612"/>
                </a:ext>
                <a:ext uri="{FF2B5EF4-FFF2-40B4-BE49-F238E27FC236}">
                  <a16:creationId xmlns:a16="http://schemas.microsoft.com/office/drawing/2014/main" id="{00000000-0008-0000-0600-000004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68613" name="Drop Down 5" hidden="1">
              <a:extLst>
                <a:ext uri="{63B3BB69-23CF-44E3-9099-C40C66FF867C}">
                  <a14:compatExt spid="_x0000_s68613"/>
                </a:ext>
                <a:ext uri="{FF2B5EF4-FFF2-40B4-BE49-F238E27FC236}">
                  <a16:creationId xmlns:a16="http://schemas.microsoft.com/office/drawing/2014/main" id="{00000000-0008-0000-0600-000005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68614" name="DropDown_N_UpgradeUpdate" hidden="1">
              <a:extLst>
                <a:ext uri="{63B3BB69-23CF-44E3-9099-C40C66FF867C}">
                  <a14:compatExt spid="_x0000_s68614"/>
                </a:ext>
                <a:ext uri="{FF2B5EF4-FFF2-40B4-BE49-F238E27FC236}">
                  <a16:creationId xmlns:a16="http://schemas.microsoft.com/office/drawing/2014/main" id="{00000000-0008-0000-0600-000006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68616" name="DropDown_IndexClientVersion" hidden="1">
              <a:extLst>
                <a:ext uri="{63B3BB69-23CF-44E3-9099-C40C66FF867C}">
                  <a14:compatExt spid="_x0000_s68616"/>
                </a:ext>
                <a:ext uri="{FF2B5EF4-FFF2-40B4-BE49-F238E27FC236}">
                  <a16:creationId xmlns:a16="http://schemas.microsoft.com/office/drawing/2014/main" id="{00000000-0008-0000-0600-00000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68618" name="Drop Down 10" hidden="1">
              <a:extLst>
                <a:ext uri="{63B3BB69-23CF-44E3-9099-C40C66FF867C}">
                  <a14:compatExt spid="_x0000_s68618"/>
                </a:ext>
                <a:ext uri="{FF2B5EF4-FFF2-40B4-BE49-F238E27FC236}">
                  <a16:creationId xmlns:a16="http://schemas.microsoft.com/office/drawing/2014/main" id="{00000000-0008-0000-0600-00000A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700-0000013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0909" name="CheckBoxDetails" hidden="1">
              <a:extLst>
                <a:ext uri="{63B3BB69-23CF-44E3-9099-C40C66FF867C}">
                  <a14:compatExt spid="_x0000_s80909"/>
                </a:ext>
                <a:ext uri="{FF2B5EF4-FFF2-40B4-BE49-F238E27FC236}">
                  <a16:creationId xmlns:a16="http://schemas.microsoft.com/office/drawing/2014/main" id="{00000000-0008-0000-0700-00000D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0910" name="Drop Down 14" hidden="1">
              <a:extLst>
                <a:ext uri="{63B3BB69-23CF-44E3-9099-C40C66FF867C}">
                  <a14:compatExt spid="_x0000_s80910"/>
                </a:ext>
                <a:ext uri="{FF2B5EF4-FFF2-40B4-BE49-F238E27FC236}">
                  <a16:creationId xmlns:a16="http://schemas.microsoft.com/office/drawing/2014/main" id="{00000000-0008-0000-0700-00000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0911" name="Drop Down 15" hidden="1">
              <a:extLst>
                <a:ext uri="{63B3BB69-23CF-44E3-9099-C40C66FF867C}">
                  <a14:compatExt spid="_x0000_s80911"/>
                </a:ext>
                <a:ext uri="{FF2B5EF4-FFF2-40B4-BE49-F238E27FC236}">
                  <a16:creationId xmlns:a16="http://schemas.microsoft.com/office/drawing/2014/main" id="{00000000-0008-0000-0700-00000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0912" name="DropDown_N_UpgradeUpdate" hidden="1">
              <a:extLst>
                <a:ext uri="{63B3BB69-23CF-44E3-9099-C40C66FF867C}">
                  <a14:compatExt spid="_x0000_s80912"/>
                </a:ext>
                <a:ext uri="{FF2B5EF4-FFF2-40B4-BE49-F238E27FC236}">
                  <a16:creationId xmlns:a16="http://schemas.microsoft.com/office/drawing/2014/main" id="{00000000-0008-0000-0700-00001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0914" name="Drop Down 18" hidden="1">
              <a:extLst>
                <a:ext uri="{63B3BB69-23CF-44E3-9099-C40C66FF867C}">
                  <a14:compatExt spid="_x0000_s80914"/>
                </a:ext>
                <a:ext uri="{FF2B5EF4-FFF2-40B4-BE49-F238E27FC236}">
                  <a16:creationId xmlns:a16="http://schemas.microsoft.com/office/drawing/2014/main" id="{00000000-0008-0000-0700-00001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0915" name="DropDown_IndexClientVersion" hidden="1">
              <a:extLst>
                <a:ext uri="{63B3BB69-23CF-44E3-9099-C40C66FF867C}">
                  <a14:compatExt spid="_x0000_s80915"/>
                </a:ext>
                <a:ext uri="{FF2B5EF4-FFF2-40B4-BE49-F238E27FC236}">
                  <a16:creationId xmlns:a16="http://schemas.microsoft.com/office/drawing/2014/main" id="{00000000-0008-0000-0700-00001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0928" name="Drop Down 32" hidden="1">
              <a:extLst>
                <a:ext uri="{63B3BB69-23CF-44E3-9099-C40C66FF867C}">
                  <a14:compatExt spid="_x0000_s80928"/>
                </a:ext>
                <a:ext uri="{FF2B5EF4-FFF2-40B4-BE49-F238E27FC236}">
                  <a16:creationId xmlns:a16="http://schemas.microsoft.com/office/drawing/2014/main" id="{00000000-0008-0000-0700-00002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736600</xdr:colOff>
          <xdr:row>15</xdr:row>
          <xdr:rowOff>25400</xdr:rowOff>
        </xdr:to>
        <xdr:sp macro="" textlink="">
          <xdr:nvSpPr>
            <xdr:cNvPr id="80929" name="ScannerCheckbox" hidden="1">
              <a:extLst>
                <a:ext uri="{63B3BB69-23CF-44E3-9099-C40C66FF867C}">
                  <a14:compatExt spid="_x0000_s80929"/>
                </a:ext>
                <a:ext uri="{FF2B5EF4-FFF2-40B4-BE49-F238E27FC236}">
                  <a16:creationId xmlns:a16="http://schemas.microsoft.com/office/drawing/2014/main" id="{00000000-0008-0000-0700-000021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0930" name="PosiOrBlueBG_Checkbox" hidden="1">
              <a:extLst>
                <a:ext uri="{63B3BB69-23CF-44E3-9099-C40C66FF867C}">
                  <a14:compatExt spid="_x0000_s80930"/>
                </a:ext>
                <a:ext uri="{FF2B5EF4-FFF2-40B4-BE49-F238E27FC236}">
                  <a16:creationId xmlns:a16="http://schemas.microsoft.com/office/drawing/2014/main" id="{00000000-0008-0000-0700-0000223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0932" name="DropDown_IndexScanner" hidden="1">
              <a:extLst>
                <a:ext uri="{63B3BB69-23CF-44E3-9099-C40C66FF867C}">
                  <a14:compatExt spid="_x0000_s80932"/>
                </a:ext>
                <a:ext uri="{FF2B5EF4-FFF2-40B4-BE49-F238E27FC236}">
                  <a16:creationId xmlns:a16="http://schemas.microsoft.com/office/drawing/2014/main" id="{00000000-0008-0000-0700-00002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0935" name="Drop Down 39" hidden="1">
              <a:extLst>
                <a:ext uri="{63B3BB69-23CF-44E3-9099-C40C66FF867C}">
                  <a14:compatExt spid="_x0000_s80935"/>
                </a:ext>
                <a:ext uri="{FF2B5EF4-FFF2-40B4-BE49-F238E27FC236}">
                  <a16:creationId xmlns:a16="http://schemas.microsoft.com/office/drawing/2014/main" id="{00000000-0008-0000-0700-000027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0936" name="Drop Down 40" hidden="1">
              <a:extLst>
                <a:ext uri="{63B3BB69-23CF-44E3-9099-C40C66FF867C}">
                  <a14:compatExt spid="_x0000_s80936"/>
                </a:ext>
                <a:ext uri="{FF2B5EF4-FFF2-40B4-BE49-F238E27FC236}">
                  <a16:creationId xmlns:a16="http://schemas.microsoft.com/office/drawing/2014/main" id="{00000000-0008-0000-0700-000028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0937" name="Drop Down 41" hidden="1">
              <a:extLst>
                <a:ext uri="{63B3BB69-23CF-44E3-9099-C40C66FF867C}">
                  <a14:compatExt spid="_x0000_s80937"/>
                </a:ext>
                <a:ext uri="{FF2B5EF4-FFF2-40B4-BE49-F238E27FC236}">
                  <a16:creationId xmlns:a16="http://schemas.microsoft.com/office/drawing/2014/main" id="{00000000-0008-0000-0700-000029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28</xdr:row>
          <xdr:rowOff>25400</xdr:rowOff>
        </xdr:from>
        <xdr:to>
          <xdr:col>5</xdr:col>
          <xdr:colOff>749300</xdr:colOff>
          <xdr:row>28</xdr:row>
          <xdr:rowOff>177800</xdr:rowOff>
        </xdr:to>
        <xdr:sp macro="" textlink="">
          <xdr:nvSpPr>
            <xdr:cNvPr id="80938" name="Drop Down 42" hidden="1">
              <a:extLst>
                <a:ext uri="{63B3BB69-23CF-44E3-9099-C40C66FF867C}">
                  <a14:compatExt spid="_x0000_s80938"/>
                </a:ext>
                <a:ext uri="{FF2B5EF4-FFF2-40B4-BE49-F238E27FC236}">
                  <a16:creationId xmlns:a16="http://schemas.microsoft.com/office/drawing/2014/main" id="{00000000-0008-0000-0700-00002A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29</xdr:row>
          <xdr:rowOff>25400</xdr:rowOff>
        </xdr:from>
        <xdr:to>
          <xdr:col>5</xdr:col>
          <xdr:colOff>749300</xdr:colOff>
          <xdr:row>29</xdr:row>
          <xdr:rowOff>177800</xdr:rowOff>
        </xdr:to>
        <xdr:sp macro="" textlink="">
          <xdr:nvSpPr>
            <xdr:cNvPr id="80939" name="Drop Down 43" hidden="1">
              <a:extLst>
                <a:ext uri="{63B3BB69-23CF-44E3-9099-C40C66FF867C}">
                  <a14:compatExt spid="_x0000_s80939"/>
                </a:ext>
                <a:ext uri="{FF2B5EF4-FFF2-40B4-BE49-F238E27FC236}">
                  <a16:creationId xmlns:a16="http://schemas.microsoft.com/office/drawing/2014/main" id="{00000000-0008-0000-0700-00002B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30</xdr:row>
          <xdr:rowOff>25400</xdr:rowOff>
        </xdr:from>
        <xdr:to>
          <xdr:col>5</xdr:col>
          <xdr:colOff>749300</xdr:colOff>
          <xdr:row>30</xdr:row>
          <xdr:rowOff>177800</xdr:rowOff>
        </xdr:to>
        <xdr:sp macro="" textlink="">
          <xdr:nvSpPr>
            <xdr:cNvPr id="80940" name="Drop Down 44" hidden="1">
              <a:extLst>
                <a:ext uri="{63B3BB69-23CF-44E3-9099-C40C66FF867C}">
                  <a14:compatExt spid="_x0000_s80940"/>
                </a:ext>
                <a:ext uri="{FF2B5EF4-FFF2-40B4-BE49-F238E27FC236}">
                  <a16:creationId xmlns:a16="http://schemas.microsoft.com/office/drawing/2014/main" id="{00000000-0008-0000-0700-00002C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80941" name="Drop Down 45" hidden="1">
              <a:extLst>
                <a:ext uri="{63B3BB69-23CF-44E3-9099-C40C66FF867C}">
                  <a14:compatExt spid="_x0000_s80941"/>
                </a:ext>
                <a:ext uri="{FF2B5EF4-FFF2-40B4-BE49-F238E27FC236}">
                  <a16:creationId xmlns:a16="http://schemas.microsoft.com/office/drawing/2014/main" id="{00000000-0008-0000-0700-00002D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27</xdr:row>
          <xdr:rowOff>25400</xdr:rowOff>
        </xdr:from>
        <xdr:to>
          <xdr:col>5</xdr:col>
          <xdr:colOff>749300</xdr:colOff>
          <xdr:row>27</xdr:row>
          <xdr:rowOff>177800</xdr:rowOff>
        </xdr:to>
        <xdr:sp macro="" textlink="">
          <xdr:nvSpPr>
            <xdr:cNvPr id="80942" name="Drop Down 46" hidden="1">
              <a:extLst>
                <a:ext uri="{63B3BB69-23CF-44E3-9099-C40C66FF867C}">
                  <a14:compatExt spid="_x0000_s80942"/>
                </a:ext>
                <a:ext uri="{FF2B5EF4-FFF2-40B4-BE49-F238E27FC236}">
                  <a16:creationId xmlns:a16="http://schemas.microsoft.com/office/drawing/2014/main" id="{00000000-0008-0000-0700-00002E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31</xdr:row>
          <xdr:rowOff>25400</xdr:rowOff>
        </xdr:from>
        <xdr:to>
          <xdr:col>5</xdr:col>
          <xdr:colOff>749300</xdr:colOff>
          <xdr:row>31</xdr:row>
          <xdr:rowOff>177800</xdr:rowOff>
        </xdr:to>
        <xdr:sp macro="" textlink="">
          <xdr:nvSpPr>
            <xdr:cNvPr id="80943" name="Drop Down 47" hidden="1">
              <a:extLst>
                <a:ext uri="{63B3BB69-23CF-44E3-9099-C40C66FF867C}">
                  <a14:compatExt spid="_x0000_s80943"/>
                </a:ext>
                <a:ext uri="{FF2B5EF4-FFF2-40B4-BE49-F238E27FC236}">
                  <a16:creationId xmlns:a16="http://schemas.microsoft.com/office/drawing/2014/main" id="{00000000-0008-0000-0700-00002F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32</xdr:row>
          <xdr:rowOff>25400</xdr:rowOff>
        </xdr:from>
        <xdr:to>
          <xdr:col>5</xdr:col>
          <xdr:colOff>749300</xdr:colOff>
          <xdr:row>32</xdr:row>
          <xdr:rowOff>177800</xdr:rowOff>
        </xdr:to>
        <xdr:sp macro="" textlink="">
          <xdr:nvSpPr>
            <xdr:cNvPr id="80944" name="Drop Down 48" hidden="1">
              <a:extLst>
                <a:ext uri="{63B3BB69-23CF-44E3-9099-C40C66FF867C}">
                  <a14:compatExt spid="_x0000_s80944"/>
                </a:ext>
                <a:ext uri="{FF2B5EF4-FFF2-40B4-BE49-F238E27FC236}">
                  <a16:creationId xmlns:a16="http://schemas.microsoft.com/office/drawing/2014/main" id="{00000000-0008-0000-0700-000030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33</xdr:row>
          <xdr:rowOff>25400</xdr:rowOff>
        </xdr:from>
        <xdr:to>
          <xdr:col>5</xdr:col>
          <xdr:colOff>749300</xdr:colOff>
          <xdr:row>33</xdr:row>
          <xdr:rowOff>177800</xdr:rowOff>
        </xdr:to>
        <xdr:sp macro="" textlink="">
          <xdr:nvSpPr>
            <xdr:cNvPr id="80945" name="Drop Down 49" hidden="1">
              <a:extLst>
                <a:ext uri="{63B3BB69-23CF-44E3-9099-C40C66FF867C}">
                  <a14:compatExt spid="_x0000_s80945"/>
                </a:ext>
                <a:ext uri="{FF2B5EF4-FFF2-40B4-BE49-F238E27FC236}">
                  <a16:creationId xmlns:a16="http://schemas.microsoft.com/office/drawing/2014/main" id="{00000000-0008-0000-0700-00003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146050</xdr:colOff>
      <xdr:row>23</xdr:row>
      <xdr:rowOff>6350</xdr:rowOff>
    </xdr:from>
    <xdr:to>
      <xdr:col>9</xdr:col>
      <xdr:colOff>676275</xdr:colOff>
      <xdr:row>27</xdr:row>
      <xdr:rowOff>125413</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r="48586"/>
        <a:stretch/>
      </xdr:blipFill>
      <xdr:spPr>
        <a:xfrm>
          <a:off x="12833350" y="5921375"/>
          <a:ext cx="1616075" cy="919163"/>
        </a:xfrm>
        <a:prstGeom prst="rect">
          <a:avLst/>
        </a:prstGeom>
      </xdr:spPr>
    </xdr:pic>
    <xdr:clientData/>
  </xdr:twoCellAnchor>
  <xdr:twoCellAnchor editAs="oneCell">
    <xdr:from>
      <xdr:col>8</xdr:col>
      <xdr:colOff>152399</xdr:colOff>
      <xdr:row>28</xdr:row>
      <xdr:rowOff>19050</xdr:rowOff>
    </xdr:from>
    <xdr:to>
      <xdr:col>9</xdr:col>
      <xdr:colOff>542924</xdr:colOff>
      <xdr:row>32</xdr:row>
      <xdr:rowOff>138113</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srcRect l="53030"/>
        <a:stretch/>
      </xdr:blipFill>
      <xdr:spPr>
        <a:xfrm>
          <a:off x="12839699" y="6934200"/>
          <a:ext cx="1476375" cy="919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70669" name="CheckBoxDetails" hidden="1">
              <a:extLst>
                <a:ext uri="{63B3BB69-23CF-44E3-9099-C40C66FF867C}">
                  <a14:compatExt spid="_x0000_s70669"/>
                </a:ext>
                <a:ext uri="{FF2B5EF4-FFF2-40B4-BE49-F238E27FC236}">
                  <a16:creationId xmlns:a16="http://schemas.microsoft.com/office/drawing/2014/main" id="{00000000-0008-0000-0800-00000D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70670" name="Drop Down 14" hidden="1">
              <a:extLst>
                <a:ext uri="{63B3BB69-23CF-44E3-9099-C40C66FF867C}">
                  <a14:compatExt spid="_x0000_s70670"/>
                </a:ext>
                <a:ext uri="{FF2B5EF4-FFF2-40B4-BE49-F238E27FC236}">
                  <a16:creationId xmlns:a16="http://schemas.microsoft.com/office/drawing/2014/main" id="{00000000-0008-0000-08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70671" name="Drop Down 15" hidden="1">
              <a:extLst>
                <a:ext uri="{63B3BB69-23CF-44E3-9099-C40C66FF867C}">
                  <a14:compatExt spid="_x0000_s70671"/>
                </a:ext>
                <a:ext uri="{FF2B5EF4-FFF2-40B4-BE49-F238E27FC236}">
                  <a16:creationId xmlns:a16="http://schemas.microsoft.com/office/drawing/2014/main" id="{00000000-0008-0000-08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70672" name="DropDown_N_UpgradeUpdate" hidden="1">
              <a:extLst>
                <a:ext uri="{63B3BB69-23CF-44E3-9099-C40C66FF867C}">
                  <a14:compatExt spid="_x0000_s70672"/>
                </a:ext>
                <a:ext uri="{FF2B5EF4-FFF2-40B4-BE49-F238E27FC236}">
                  <a16:creationId xmlns:a16="http://schemas.microsoft.com/office/drawing/2014/main" id="{00000000-0008-0000-08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70674" name="Drop Down 18" hidden="1">
              <a:extLst>
                <a:ext uri="{63B3BB69-23CF-44E3-9099-C40C66FF867C}">
                  <a14:compatExt spid="_x0000_s70674"/>
                </a:ext>
                <a:ext uri="{FF2B5EF4-FFF2-40B4-BE49-F238E27FC236}">
                  <a16:creationId xmlns:a16="http://schemas.microsoft.com/office/drawing/2014/main" id="{00000000-0008-0000-08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70675" name="DropDown_IndexClientVersion" hidden="1">
              <a:extLst>
                <a:ext uri="{63B3BB69-23CF-44E3-9099-C40C66FF867C}">
                  <a14:compatExt spid="_x0000_s70675"/>
                </a:ext>
                <a:ext uri="{FF2B5EF4-FFF2-40B4-BE49-F238E27FC236}">
                  <a16:creationId xmlns:a16="http://schemas.microsoft.com/office/drawing/2014/main" id="{00000000-0008-0000-08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70681" name="Drop Down 25" hidden="1">
              <a:extLst>
                <a:ext uri="{63B3BB69-23CF-44E3-9099-C40C66FF867C}">
                  <a14:compatExt spid="_x0000_s70681"/>
                </a:ext>
                <a:ext uri="{FF2B5EF4-FFF2-40B4-BE49-F238E27FC236}">
                  <a16:creationId xmlns:a16="http://schemas.microsoft.com/office/drawing/2014/main" id="{00000000-0008-0000-08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70682" name="Drop Down 26" hidden="1">
              <a:extLst>
                <a:ext uri="{63B3BB69-23CF-44E3-9099-C40C66FF867C}">
                  <a14:compatExt spid="_x0000_s70682"/>
                </a:ext>
                <a:ext uri="{FF2B5EF4-FFF2-40B4-BE49-F238E27FC236}">
                  <a16:creationId xmlns:a16="http://schemas.microsoft.com/office/drawing/2014/main" id="{00000000-0008-0000-08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70683" name="Drop Down 27" hidden="1">
              <a:extLst>
                <a:ext uri="{63B3BB69-23CF-44E3-9099-C40C66FF867C}">
                  <a14:compatExt spid="_x0000_s70683"/>
                </a:ext>
                <a:ext uri="{FF2B5EF4-FFF2-40B4-BE49-F238E27FC236}">
                  <a16:creationId xmlns:a16="http://schemas.microsoft.com/office/drawing/2014/main" id="{00000000-0008-0000-08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70684" name="Drop Down 28" hidden="1">
              <a:extLst>
                <a:ext uri="{63B3BB69-23CF-44E3-9099-C40C66FF867C}">
                  <a14:compatExt spid="_x0000_s70684"/>
                </a:ext>
                <a:ext uri="{FF2B5EF4-FFF2-40B4-BE49-F238E27FC236}">
                  <a16:creationId xmlns:a16="http://schemas.microsoft.com/office/drawing/2014/main" id="{00000000-0008-0000-0800-00001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70685" name="Drop Down 29" hidden="1">
              <a:extLst>
                <a:ext uri="{63B3BB69-23CF-44E3-9099-C40C66FF867C}">
                  <a14:compatExt spid="_x0000_s70685"/>
                </a:ext>
                <a:ext uri="{FF2B5EF4-FFF2-40B4-BE49-F238E27FC236}">
                  <a16:creationId xmlns:a16="http://schemas.microsoft.com/office/drawing/2014/main" id="{00000000-0008-0000-0800-00001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711200</xdr:colOff>
          <xdr:row>15</xdr:row>
          <xdr:rowOff>25400</xdr:rowOff>
        </xdr:to>
        <xdr:sp macro="" textlink="">
          <xdr:nvSpPr>
            <xdr:cNvPr id="70693" name="ScannerCheckbox" hidden="1">
              <a:extLst>
                <a:ext uri="{63B3BB69-23CF-44E3-9099-C40C66FF867C}">
                  <a14:compatExt spid="_x0000_s70693"/>
                </a:ext>
                <a:ext uri="{FF2B5EF4-FFF2-40B4-BE49-F238E27FC236}">
                  <a16:creationId xmlns:a16="http://schemas.microsoft.com/office/drawing/2014/main" id="{00000000-0008-0000-0800-00002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70695" name="DropDown_IndexScanner" hidden="1">
              <a:extLst>
                <a:ext uri="{63B3BB69-23CF-44E3-9099-C40C66FF867C}">
                  <a14:compatExt spid="_x0000_s70695"/>
                </a:ext>
                <a:ext uri="{FF2B5EF4-FFF2-40B4-BE49-F238E27FC236}">
                  <a16:creationId xmlns:a16="http://schemas.microsoft.com/office/drawing/2014/main" id="{00000000-0008-0000-08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70696" name="PosiOrBlueBG_Checkbox" hidden="1">
              <a:extLst>
                <a:ext uri="{63B3BB69-23CF-44E3-9099-C40C66FF867C}">
                  <a14:compatExt spid="_x0000_s70696"/>
                </a:ext>
                <a:ext uri="{FF2B5EF4-FFF2-40B4-BE49-F238E27FC236}">
                  <a16:creationId xmlns:a16="http://schemas.microsoft.com/office/drawing/2014/main" id="{00000000-0008-0000-0800-00002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900-00000158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88075" name="CheckBoxDetails" hidden="1">
              <a:extLst>
                <a:ext uri="{63B3BB69-23CF-44E3-9099-C40C66FF867C}">
                  <a14:compatExt spid="_x0000_s88075"/>
                </a:ext>
                <a:ext uri="{FF2B5EF4-FFF2-40B4-BE49-F238E27FC236}">
                  <a16:creationId xmlns:a16="http://schemas.microsoft.com/office/drawing/2014/main" id="{00000000-0008-0000-0900-00000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88076" name="Drop Down 12" hidden="1">
              <a:extLst>
                <a:ext uri="{63B3BB69-23CF-44E3-9099-C40C66FF867C}">
                  <a14:compatExt spid="_x0000_s88076"/>
                </a:ext>
                <a:ext uri="{FF2B5EF4-FFF2-40B4-BE49-F238E27FC236}">
                  <a16:creationId xmlns:a16="http://schemas.microsoft.com/office/drawing/2014/main" id="{00000000-0008-0000-0900-00000C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88077" name="Drop Down 13" hidden="1">
              <a:extLst>
                <a:ext uri="{63B3BB69-23CF-44E3-9099-C40C66FF867C}">
                  <a14:compatExt spid="_x0000_s88077"/>
                </a:ext>
                <a:ext uri="{FF2B5EF4-FFF2-40B4-BE49-F238E27FC236}">
                  <a16:creationId xmlns:a16="http://schemas.microsoft.com/office/drawing/2014/main" id="{00000000-0008-0000-0900-00000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88078" name="DropDown_N_UpgradeUpdate" hidden="1">
              <a:extLst>
                <a:ext uri="{63B3BB69-23CF-44E3-9099-C40C66FF867C}">
                  <a14:compatExt spid="_x0000_s88078"/>
                </a:ext>
                <a:ext uri="{FF2B5EF4-FFF2-40B4-BE49-F238E27FC236}">
                  <a16:creationId xmlns:a16="http://schemas.microsoft.com/office/drawing/2014/main" id="{00000000-0008-0000-0900-00000E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88080" name="Drop Down 16" hidden="1">
              <a:extLst>
                <a:ext uri="{63B3BB69-23CF-44E3-9099-C40C66FF867C}">
                  <a14:compatExt spid="_x0000_s88080"/>
                </a:ext>
                <a:ext uri="{FF2B5EF4-FFF2-40B4-BE49-F238E27FC236}">
                  <a16:creationId xmlns:a16="http://schemas.microsoft.com/office/drawing/2014/main" id="{00000000-0008-0000-0900-000010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21</xdr:row>
          <xdr:rowOff>25400</xdr:rowOff>
        </xdr:from>
        <xdr:to>
          <xdr:col>5</xdr:col>
          <xdr:colOff>749300</xdr:colOff>
          <xdr:row>21</xdr:row>
          <xdr:rowOff>177800</xdr:rowOff>
        </xdr:to>
        <xdr:sp macro="" textlink="">
          <xdr:nvSpPr>
            <xdr:cNvPr id="88085" name="Drop Down 21" hidden="1">
              <a:extLst>
                <a:ext uri="{63B3BB69-23CF-44E3-9099-C40C66FF867C}">
                  <a14:compatExt spid="_x0000_s88085"/>
                </a:ext>
                <a:ext uri="{FF2B5EF4-FFF2-40B4-BE49-F238E27FC236}">
                  <a16:creationId xmlns:a16="http://schemas.microsoft.com/office/drawing/2014/main" id="{00000000-0008-0000-0900-000015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88087" name="Drop Down 23" hidden="1">
              <a:extLst>
                <a:ext uri="{63B3BB69-23CF-44E3-9099-C40C66FF867C}">
                  <a14:compatExt spid="_x0000_s88087"/>
                </a:ext>
                <a:ext uri="{FF2B5EF4-FFF2-40B4-BE49-F238E27FC236}">
                  <a16:creationId xmlns:a16="http://schemas.microsoft.com/office/drawing/2014/main" id="{00000000-0008-0000-0900-000017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88088" name="Drop Down 24" hidden="1">
              <a:extLst>
                <a:ext uri="{63B3BB69-23CF-44E3-9099-C40C66FF867C}">
                  <a14:compatExt spid="_x0000_s88088"/>
                </a:ext>
                <a:ext uri="{FF2B5EF4-FFF2-40B4-BE49-F238E27FC236}">
                  <a16:creationId xmlns:a16="http://schemas.microsoft.com/office/drawing/2014/main" id="{00000000-0008-0000-0900-000018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88089" name="Drop Down 25" hidden="1">
              <a:extLst>
                <a:ext uri="{63B3BB69-23CF-44E3-9099-C40C66FF867C}">
                  <a14:compatExt spid="_x0000_s88089"/>
                </a:ext>
                <a:ext uri="{FF2B5EF4-FFF2-40B4-BE49-F238E27FC236}">
                  <a16:creationId xmlns:a16="http://schemas.microsoft.com/office/drawing/2014/main" id="{00000000-0008-0000-0900-000019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88090" name="Drop Down 26" hidden="1">
              <a:extLst>
                <a:ext uri="{63B3BB69-23CF-44E3-9099-C40C66FF867C}">
                  <a14:compatExt spid="_x0000_s88090"/>
                </a:ext>
                <a:ext uri="{FF2B5EF4-FFF2-40B4-BE49-F238E27FC236}">
                  <a16:creationId xmlns:a16="http://schemas.microsoft.com/office/drawing/2014/main" id="{00000000-0008-0000-0900-00001A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723900</xdr:colOff>
          <xdr:row>15</xdr:row>
          <xdr:rowOff>25400</xdr:rowOff>
        </xdr:to>
        <xdr:sp macro="" textlink="">
          <xdr:nvSpPr>
            <xdr:cNvPr id="88091" name="ScannerCheckbox" hidden="1">
              <a:extLst>
                <a:ext uri="{63B3BB69-23CF-44E3-9099-C40C66FF867C}">
                  <a14:compatExt spid="_x0000_s88091"/>
                </a:ext>
                <a:ext uri="{FF2B5EF4-FFF2-40B4-BE49-F238E27FC236}">
                  <a16:creationId xmlns:a16="http://schemas.microsoft.com/office/drawing/2014/main" id="{00000000-0008-0000-0900-00001B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88093" name="DropDown_IndexScanner" hidden="1">
              <a:extLst>
                <a:ext uri="{63B3BB69-23CF-44E3-9099-C40C66FF867C}">
                  <a14:compatExt spid="_x0000_s88093"/>
                </a:ext>
                <a:ext uri="{FF2B5EF4-FFF2-40B4-BE49-F238E27FC236}">
                  <a16:creationId xmlns:a16="http://schemas.microsoft.com/office/drawing/2014/main" id="{00000000-0008-0000-0900-00001D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19</xdr:row>
          <xdr:rowOff>165100</xdr:rowOff>
        </xdr:from>
        <xdr:to>
          <xdr:col>2</xdr:col>
          <xdr:colOff>2870200</xdr:colOff>
          <xdr:row>21</xdr:row>
          <xdr:rowOff>25400</xdr:rowOff>
        </xdr:to>
        <xdr:sp macro="" textlink="">
          <xdr:nvSpPr>
            <xdr:cNvPr id="88094" name="PosiOrBlueBG_Checkbox" hidden="1">
              <a:extLst>
                <a:ext uri="{63B3BB69-23CF-44E3-9099-C40C66FF867C}">
                  <a14:compatExt spid="_x0000_s88094"/>
                </a:ext>
                <a:ext uri="{FF2B5EF4-FFF2-40B4-BE49-F238E27FC236}">
                  <a16:creationId xmlns:a16="http://schemas.microsoft.com/office/drawing/2014/main" id="{00000000-0008-0000-0900-00001E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88095" name="DropDown_IndexClientVersion" hidden="1">
              <a:extLst>
                <a:ext uri="{63B3BB69-23CF-44E3-9099-C40C66FF867C}">
                  <a14:compatExt spid="_x0000_s88095"/>
                </a:ext>
                <a:ext uri="{FF2B5EF4-FFF2-40B4-BE49-F238E27FC236}">
                  <a16:creationId xmlns:a16="http://schemas.microsoft.com/office/drawing/2014/main" id="{00000000-0008-0000-0900-00001F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0</xdr:row>
          <xdr:rowOff>25400</xdr:rowOff>
        </xdr:from>
        <xdr:to>
          <xdr:col>6</xdr:col>
          <xdr:colOff>787400</xdr:colOff>
          <xdr:row>0</xdr:row>
          <xdr:rowOff>228600</xdr:rowOff>
        </xdr:to>
        <xdr:sp macro="" textlink="">
          <xdr:nvSpPr>
            <xdr:cNvPr id="1123" name="CheckBoxDetails" hidden="1">
              <a:extLst>
                <a:ext uri="{63B3BB69-23CF-44E3-9099-C40C66FF867C}">
                  <a14:compatExt spid="_x0000_s1123"/>
                </a:ext>
                <a:ext uri="{FF2B5EF4-FFF2-40B4-BE49-F238E27FC236}">
                  <a16:creationId xmlns:a16="http://schemas.microsoft.com/office/drawing/2014/main" id="{00000000-0008-0000-0A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00000000-0008-0000-0A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1139" name="DropDown_N_UpgradeUpdate" hidden="1">
              <a:extLst>
                <a:ext uri="{63B3BB69-23CF-44E3-9099-C40C66FF867C}">
                  <a14:compatExt spid="_x0000_s1139"/>
                </a:ext>
                <a:ext uri="{FF2B5EF4-FFF2-40B4-BE49-F238E27FC236}">
                  <a16:creationId xmlns:a16="http://schemas.microsoft.com/office/drawing/2014/main" id="{00000000-0008-0000-0A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101600</xdr:rowOff>
        </xdr:from>
        <xdr:to>
          <xdr:col>2</xdr:col>
          <xdr:colOff>25400</xdr:colOff>
          <xdr:row>13</xdr:row>
          <xdr:rowOff>292100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A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1141" name="DropDown_IndexClientVersion" hidden="1">
              <a:extLst>
                <a:ext uri="{63B3BB69-23CF-44E3-9099-C40C66FF867C}">
                  <a14:compatExt spid="_x0000_s1141"/>
                </a:ext>
                <a:ext uri="{FF2B5EF4-FFF2-40B4-BE49-F238E27FC236}">
                  <a16:creationId xmlns:a16="http://schemas.microsoft.com/office/drawing/2014/main" id="{00000000-0008-0000-0A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1144" name="CheckBoxDetails" hidden="1">
              <a:extLst>
                <a:ext uri="{63B3BB69-23CF-44E3-9099-C40C66FF867C}">
                  <a14:compatExt spid="_x0000_s1144"/>
                </a:ext>
                <a:ext uri="{FF2B5EF4-FFF2-40B4-BE49-F238E27FC236}">
                  <a16:creationId xmlns:a16="http://schemas.microsoft.com/office/drawing/2014/main" id="{00000000-0008-0000-0A00-000078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25" name="TextBox 24">
          <a:extLst>
            <a:ext uri="{FF2B5EF4-FFF2-40B4-BE49-F238E27FC236}">
              <a16:creationId xmlns:a16="http://schemas.microsoft.com/office/drawing/2014/main" id="{00000000-0008-0000-0A00-000019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A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20</xdr:row>
          <xdr:rowOff>25400</xdr:rowOff>
        </xdr:from>
        <xdr:to>
          <xdr:col>5</xdr:col>
          <xdr:colOff>749300</xdr:colOff>
          <xdr:row>20</xdr:row>
          <xdr:rowOff>177800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A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22</xdr:row>
          <xdr:rowOff>25400</xdr:rowOff>
        </xdr:from>
        <xdr:to>
          <xdr:col>5</xdr:col>
          <xdr:colOff>749300</xdr:colOff>
          <xdr:row>22</xdr:row>
          <xdr:rowOff>177800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A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23</xdr:row>
          <xdr:rowOff>25400</xdr:rowOff>
        </xdr:from>
        <xdr:to>
          <xdr:col>5</xdr:col>
          <xdr:colOff>749300</xdr:colOff>
          <xdr:row>23</xdr:row>
          <xdr:rowOff>177800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00000000-0008-0000-0A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24</xdr:row>
          <xdr:rowOff>25400</xdr:rowOff>
        </xdr:from>
        <xdr:to>
          <xdr:col>5</xdr:col>
          <xdr:colOff>749300</xdr:colOff>
          <xdr:row>24</xdr:row>
          <xdr:rowOff>177800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0000000-0008-0000-0A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25</xdr:row>
          <xdr:rowOff>25400</xdr:rowOff>
        </xdr:from>
        <xdr:to>
          <xdr:col>5</xdr:col>
          <xdr:colOff>749300</xdr:colOff>
          <xdr:row>25</xdr:row>
          <xdr:rowOff>177800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00000000-0008-0000-0A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368300</xdr:colOff>
          <xdr:row>26</xdr:row>
          <xdr:rowOff>25400</xdr:rowOff>
        </xdr:from>
        <xdr:to>
          <xdr:col>5</xdr:col>
          <xdr:colOff>749300</xdr:colOff>
          <xdr:row>26</xdr:row>
          <xdr:rowOff>177800</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00000000-0008-0000-0A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A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101600</xdr:colOff>
          <xdr:row>13</xdr:row>
          <xdr:rowOff>355600</xdr:rowOff>
        </xdr:from>
        <xdr:to>
          <xdr:col>2</xdr:col>
          <xdr:colOff>685800</xdr:colOff>
          <xdr:row>15</xdr:row>
          <xdr:rowOff>25400</xdr:rowOff>
        </xdr:to>
        <xdr:sp macro="" textlink="">
          <xdr:nvSpPr>
            <xdr:cNvPr id="1159" name="ScannerCheckbox" hidden="1">
              <a:extLst>
                <a:ext uri="{63B3BB69-23CF-44E3-9099-C40C66FF867C}">
                  <a14:compatExt spid="_x0000_s1159"/>
                </a:ext>
                <a:ext uri="{FF2B5EF4-FFF2-40B4-BE49-F238E27FC236}">
                  <a16:creationId xmlns:a16="http://schemas.microsoft.com/office/drawing/2014/main" id="{00000000-0008-0000-0A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14</xdr:row>
          <xdr:rowOff>0</xdr:rowOff>
        </xdr:from>
        <xdr:to>
          <xdr:col>2</xdr:col>
          <xdr:colOff>2006600</xdr:colOff>
          <xdr:row>15</xdr:row>
          <xdr:rowOff>25400</xdr:rowOff>
        </xdr:to>
        <xdr:sp macro="" textlink="">
          <xdr:nvSpPr>
            <xdr:cNvPr id="1161" name="DropDown_IndexScanner" hidden="1">
              <a:extLst>
                <a:ext uri="{63B3BB69-23CF-44E3-9099-C40C66FF867C}">
                  <a14:compatExt spid="_x0000_s1161"/>
                </a:ext>
                <a:ext uri="{FF2B5EF4-FFF2-40B4-BE49-F238E27FC236}">
                  <a16:creationId xmlns:a16="http://schemas.microsoft.com/office/drawing/2014/main" id="{00000000-0008-0000-0A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57345" name="CheckBoxDetails"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57357" name="CheckBoxDetails"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2</xdr:col>
          <xdr:colOff>25400</xdr:colOff>
          <xdr:row>10</xdr:row>
          <xdr:rowOff>292100</xdr:rowOff>
        </xdr:to>
        <xdr:sp macro="" textlink="">
          <xdr:nvSpPr>
            <xdr:cNvPr id="57359" name="Drop Down 15"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25400</xdr:colOff>
          <xdr:row>12</xdr:row>
          <xdr:rowOff>0</xdr:rowOff>
        </xdr:to>
        <xdr:sp macro="" textlink="">
          <xdr:nvSpPr>
            <xdr:cNvPr id="57360" name="DropDown_N_UpgradeUpdate" hidden="1">
              <a:extLst>
                <a:ext uri="{63B3BB69-23CF-44E3-9099-C40C66FF867C}">
                  <a14:compatExt spid="_x0000_s57360"/>
                </a:ext>
                <a:ext uri="{FF2B5EF4-FFF2-40B4-BE49-F238E27FC236}">
                  <a16:creationId xmlns:a16="http://schemas.microsoft.com/office/drawing/2014/main" id="{00000000-0008-0000-0B00-000010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57366" name="Drop Down 22" hidden="1">
              <a:extLst>
                <a:ext uri="{63B3BB69-23CF-44E3-9099-C40C66FF867C}">
                  <a14:compatExt spid="_x0000_s57366"/>
                </a:ext>
                <a:ext uri="{FF2B5EF4-FFF2-40B4-BE49-F238E27FC236}">
                  <a16:creationId xmlns:a16="http://schemas.microsoft.com/office/drawing/2014/main" id="{00000000-0008-0000-0B00-000016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11</xdr:row>
          <xdr:rowOff>25400</xdr:rowOff>
        </xdr:from>
        <xdr:to>
          <xdr:col>9</xdr:col>
          <xdr:colOff>863600</xdr:colOff>
          <xdr:row>12</xdr:row>
          <xdr:rowOff>0</xdr:rowOff>
        </xdr:to>
        <xdr:sp macro="" textlink="">
          <xdr:nvSpPr>
            <xdr:cNvPr id="57367" name="Drop Down 23" hidden="1">
              <a:extLst>
                <a:ext uri="{63B3BB69-23CF-44E3-9099-C40C66FF867C}">
                  <a14:compatExt spid="_x0000_s57367"/>
                </a:ext>
                <a:ext uri="{FF2B5EF4-FFF2-40B4-BE49-F238E27FC236}">
                  <a16:creationId xmlns:a16="http://schemas.microsoft.com/office/drawing/2014/main" id="{00000000-0008-0000-0B00-00001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12</xdr:row>
          <xdr:rowOff>0</xdr:rowOff>
        </xdr:from>
        <xdr:to>
          <xdr:col>2</xdr:col>
          <xdr:colOff>2984500</xdr:colOff>
          <xdr:row>12</xdr:row>
          <xdr:rowOff>0</xdr:rowOff>
        </xdr:to>
        <xdr:sp macro="" textlink="">
          <xdr:nvSpPr>
            <xdr:cNvPr id="57368" name="DropDown_IndexClientVersion" hidden="1">
              <a:extLst>
                <a:ext uri="{63B3BB69-23CF-44E3-9099-C40C66FF867C}">
                  <a14:compatExt spid="_x0000_s57368"/>
                </a:ext>
                <a:ext uri="{FF2B5EF4-FFF2-40B4-BE49-F238E27FC236}">
                  <a16:creationId xmlns:a16="http://schemas.microsoft.com/office/drawing/2014/main" id="{00000000-0008-0000-0B00-000018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25400</xdr:colOff>
          <xdr:row>0</xdr:row>
          <xdr:rowOff>25400</xdr:rowOff>
        </xdr:from>
        <xdr:to>
          <xdr:col>5</xdr:col>
          <xdr:colOff>1092200</xdr:colOff>
          <xdr:row>0</xdr:row>
          <xdr:rowOff>228600</xdr:rowOff>
        </xdr:to>
        <xdr:sp macro="" textlink="">
          <xdr:nvSpPr>
            <xdr:cNvPr id="93185" name="CheckBoxDetails"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283370</xdr:colOff>
      <xdr:row>0</xdr:row>
      <xdr:rowOff>0</xdr:rowOff>
    </xdr:from>
    <xdr:to>
      <xdr:col>5</xdr:col>
      <xdr:colOff>1143000</xdr:colOff>
      <xdr:row>0</xdr:row>
      <xdr:rowOff>195262</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9522620" y="0"/>
          <a:ext cx="802480"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u="sng">
              <a:solidFill>
                <a:srgbClr val="C00000"/>
              </a:solidFill>
            </a:rPr>
            <a:t>Instructions</a:t>
          </a:r>
        </a:p>
      </xdr:txBody>
    </xdr:sp>
    <xdr:clientData/>
  </xdr:twoCellAnchor>
  <mc:AlternateContent xmlns:mc="http://schemas.openxmlformats.org/markup-compatibility/2006">
    <mc:Choice xmlns:a14="http://schemas.microsoft.com/office/drawing/2010/main" Requires="a14">
      <xdr:twoCellAnchor>
        <xdr:from>
          <xdr:col>6</xdr:col>
          <xdr:colOff>76200</xdr:colOff>
          <xdr:row>0</xdr:row>
          <xdr:rowOff>25400</xdr:rowOff>
        </xdr:from>
        <xdr:to>
          <xdr:col>6</xdr:col>
          <xdr:colOff>838200</xdr:colOff>
          <xdr:row>0</xdr:row>
          <xdr:rowOff>228600</xdr:rowOff>
        </xdr:to>
        <xdr:sp macro="" textlink="">
          <xdr:nvSpPr>
            <xdr:cNvPr id="93197" name="CheckBoxDetails"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Descriptions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xdr:row>
          <xdr:rowOff>0</xdr:rowOff>
        </xdr:from>
        <xdr:to>
          <xdr:col>4</xdr:col>
          <xdr:colOff>2222500</xdr:colOff>
          <xdr:row>5</xdr:row>
          <xdr:rowOff>25400</xdr:rowOff>
        </xdr:to>
        <xdr:sp macro="" textlink="">
          <xdr:nvSpPr>
            <xdr:cNvPr id="93198" name="Drop Dow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101600</xdr:rowOff>
        </xdr:from>
        <xdr:to>
          <xdr:col>2</xdr:col>
          <xdr:colOff>25400</xdr:colOff>
          <xdr:row>11</xdr:row>
          <xdr:rowOff>292100</xdr:rowOff>
        </xdr:to>
        <xdr:sp macro="" textlink="">
          <xdr:nvSpPr>
            <xdr:cNvPr id="93199" name="Drop Dow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2</xdr:col>
          <xdr:colOff>25400</xdr:colOff>
          <xdr:row>13</xdr:row>
          <xdr:rowOff>0</xdr:rowOff>
        </xdr:to>
        <xdr:sp macro="" textlink="">
          <xdr:nvSpPr>
            <xdr:cNvPr id="93200" name="DropDown_N_UpgradeUpdate"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xdr:row>
          <xdr:rowOff>0</xdr:rowOff>
        </xdr:from>
        <xdr:to>
          <xdr:col>4</xdr:col>
          <xdr:colOff>3759200</xdr:colOff>
          <xdr:row>3</xdr:row>
          <xdr:rowOff>266700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101600</xdr:rowOff>
        </xdr:from>
        <xdr:to>
          <xdr:col>2</xdr:col>
          <xdr:colOff>25400</xdr:colOff>
          <xdr:row>14</xdr:row>
          <xdr:rowOff>292100</xdr:rowOff>
        </xdr:to>
        <xdr:sp macro="" textlink="">
          <xdr:nvSpPr>
            <xdr:cNvPr id="93202" name="Drop Dow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825500</xdr:colOff>
          <xdr:row>13</xdr:row>
          <xdr:rowOff>0</xdr:rowOff>
        </xdr:from>
        <xdr:to>
          <xdr:col>2</xdr:col>
          <xdr:colOff>2984500</xdr:colOff>
          <xdr:row>13</xdr:row>
          <xdr:rowOff>0</xdr:rowOff>
        </xdr:to>
        <xdr:sp macro="" textlink="">
          <xdr:nvSpPr>
            <xdr:cNvPr id="93203" name="DropDown_IndexClientVersion"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10</xdr:row>
          <xdr:rowOff>292100</xdr:rowOff>
        </xdr:from>
        <xdr:to>
          <xdr:col>9</xdr:col>
          <xdr:colOff>863600</xdr:colOff>
          <xdr:row>11</xdr:row>
          <xdr:rowOff>190500</xdr:rowOff>
        </xdr:to>
        <xdr:sp macro="" textlink="">
          <xdr:nvSpPr>
            <xdr:cNvPr id="93206" name="Drop Dow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177800</xdr:rowOff>
        </xdr:from>
        <xdr:to>
          <xdr:col>2</xdr:col>
          <xdr:colOff>2667000</xdr:colOff>
          <xdr:row>22</xdr:row>
          <xdr:rowOff>38100</xdr:rowOff>
        </xdr:to>
        <xdr:sp macro="" textlink="">
          <xdr:nvSpPr>
            <xdr:cNvPr id="93207" name="CaseAndMount_checkbox"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177800</xdr:rowOff>
        </xdr:from>
        <xdr:to>
          <xdr:col>2</xdr:col>
          <xdr:colOff>711200</xdr:colOff>
          <xdr:row>18</xdr:row>
          <xdr:rowOff>38100</xdr:rowOff>
        </xdr:to>
        <xdr:sp macro="" textlink="">
          <xdr:nvSpPr>
            <xdr:cNvPr id="93209" name="Camera_Checkbox"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17</xdr:row>
          <xdr:rowOff>0</xdr:rowOff>
        </xdr:from>
        <xdr:to>
          <xdr:col>2</xdr:col>
          <xdr:colOff>2006600</xdr:colOff>
          <xdr:row>18</xdr:row>
          <xdr:rowOff>25400</xdr:rowOff>
        </xdr:to>
        <xdr:sp macro="" textlink="">
          <xdr:nvSpPr>
            <xdr:cNvPr id="93210" name="DropDown_IndexScanner"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152400</xdr:rowOff>
        </xdr:from>
        <xdr:to>
          <xdr:col>2</xdr:col>
          <xdr:colOff>2667000</xdr:colOff>
          <xdr:row>24</xdr:row>
          <xdr:rowOff>25400</xdr:rowOff>
        </xdr:to>
        <xdr:sp macro="" textlink="">
          <xdr:nvSpPr>
            <xdr:cNvPr id="93211" name="BigTripod_Checkbox"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13</xdr:col>
      <xdr:colOff>11985</xdr:colOff>
      <xdr:row>184</xdr:row>
      <xdr:rowOff>23463</xdr:rowOff>
    </xdr:from>
    <xdr:to>
      <xdr:col>13</xdr:col>
      <xdr:colOff>260844</xdr:colOff>
      <xdr:row>185</xdr:row>
      <xdr:rowOff>15313</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24548385" y="49134363"/>
          <a:ext cx="248859" cy="180000"/>
        </a:xfrm>
        <a:prstGeom prst="rect">
          <a:avLst/>
        </a:prstGeom>
      </xdr:spPr>
    </xdr:pic>
    <xdr:clientData/>
  </xdr:twoCellAnchor>
  <xdr:twoCellAnchor editAs="oneCell">
    <xdr:from>
      <xdr:col>13</xdr:col>
      <xdr:colOff>690446</xdr:colOff>
      <xdr:row>185</xdr:row>
      <xdr:rowOff>23463</xdr:rowOff>
    </xdr:from>
    <xdr:to>
      <xdr:col>13</xdr:col>
      <xdr:colOff>939304</xdr:colOff>
      <xdr:row>186</xdr:row>
      <xdr:rowOff>15314</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a:stretch>
          <a:fillRect/>
        </a:stretch>
      </xdr:blipFill>
      <xdr:spPr>
        <a:xfrm>
          <a:off x="25226846" y="91139613"/>
          <a:ext cx="248858" cy="180000"/>
        </a:xfrm>
        <a:prstGeom prst="rect">
          <a:avLst/>
        </a:prstGeom>
      </xdr:spPr>
    </xdr:pic>
    <xdr:clientData/>
  </xdr:twoCellAnchor>
  <xdr:twoCellAnchor editAs="oneCell">
    <xdr:from>
      <xdr:col>13</xdr:col>
      <xdr:colOff>629136</xdr:colOff>
      <xdr:row>186</xdr:row>
      <xdr:rowOff>22046</xdr:rowOff>
    </xdr:from>
    <xdr:to>
      <xdr:col>13</xdr:col>
      <xdr:colOff>877994</xdr:colOff>
      <xdr:row>187</xdr:row>
      <xdr:rowOff>13896</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a:stretch>
          <a:fillRect/>
        </a:stretch>
      </xdr:blipFill>
      <xdr:spPr>
        <a:xfrm>
          <a:off x="25165536" y="91338221"/>
          <a:ext cx="248858" cy="18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87384</xdr:colOff>
      <xdr:row>0</xdr:row>
      <xdr:rowOff>0</xdr:rowOff>
    </xdr:from>
    <xdr:to>
      <xdr:col>5</xdr:col>
      <xdr:colOff>171287</xdr:colOff>
      <xdr:row>2</xdr:row>
      <xdr:rowOff>81471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234" y="0"/>
          <a:ext cx="1131653" cy="491046"/>
        </a:xfrm>
        <a:prstGeom prst="rect">
          <a:avLst/>
        </a:prstGeom>
      </xdr:spPr>
    </xdr:pic>
    <xdr:clientData/>
  </xdr:twoCellAnchor>
  <xdr:twoCellAnchor editAs="absolute">
    <xdr:from>
      <xdr:col>12</xdr:col>
      <xdr:colOff>644</xdr:colOff>
      <xdr:row>1</xdr:row>
      <xdr:rowOff>1224</xdr:rowOff>
    </xdr:from>
    <xdr:to>
      <xdr:col>17</xdr:col>
      <xdr:colOff>723899</xdr:colOff>
      <xdr:row>7</xdr:row>
      <xdr:rowOff>5058</xdr:rowOff>
    </xdr:to>
    <xdr:sp macro="" textlink="">
      <xdr:nvSpPr>
        <xdr:cNvPr id="3" name="Rectangle: Rounded Corners 2">
          <a:extLst>
            <a:ext uri="{FF2B5EF4-FFF2-40B4-BE49-F238E27FC236}">
              <a16:creationId xmlns:a16="http://schemas.microsoft.com/office/drawing/2014/main" id="{00000000-0008-0000-0F00-000003000000}"/>
            </a:ext>
          </a:extLst>
        </xdr:cNvPr>
        <xdr:cNvSpPr/>
      </xdr:nvSpPr>
      <xdr:spPr>
        <a:xfrm>
          <a:off x="4648844" y="258399"/>
          <a:ext cx="259015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0</xdr:col>
      <xdr:colOff>19050</xdr:colOff>
      <xdr:row>2</xdr:row>
      <xdr:rowOff>63211</xdr:rowOff>
    </xdr:from>
    <xdr:to>
      <xdr:col>7</xdr:col>
      <xdr:colOff>0</xdr:colOff>
      <xdr:row>9</xdr:row>
      <xdr:rowOff>79513</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9050" y="472786"/>
          <a:ext cx="22860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21</xdr:col>
      <xdr:colOff>89289</xdr:colOff>
      <xdr:row>0</xdr:row>
      <xdr:rowOff>0</xdr:rowOff>
    </xdr:from>
    <xdr:to>
      <xdr:col>24</xdr:col>
      <xdr:colOff>173192</xdr:colOff>
      <xdr:row>2</xdr:row>
      <xdr:rowOff>81471</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09289" y="0"/>
          <a:ext cx="1131653" cy="491046"/>
        </a:xfrm>
        <a:prstGeom prst="rect">
          <a:avLst/>
        </a:prstGeom>
      </xdr:spPr>
    </xdr:pic>
    <xdr:clientData/>
  </xdr:twoCellAnchor>
  <xdr:twoCellAnchor editAs="absolute">
    <xdr:from>
      <xdr:col>31</xdr:col>
      <xdr:colOff>2550</xdr:colOff>
      <xdr:row>1</xdr:row>
      <xdr:rowOff>1224</xdr:rowOff>
    </xdr:from>
    <xdr:to>
      <xdr:col>37</xdr:col>
      <xdr:colOff>0</xdr:colOff>
      <xdr:row>7</xdr:row>
      <xdr:rowOff>5058</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194690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20955</xdr:colOff>
      <xdr:row>2</xdr:row>
      <xdr:rowOff>63211</xdr:rowOff>
    </xdr:from>
    <xdr:to>
      <xdr:col>28</xdr:col>
      <xdr:colOff>669772</xdr:colOff>
      <xdr:row>9</xdr:row>
      <xdr:rowOff>79513</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7317105"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xdr:colOff>
      <xdr:row>54</xdr:row>
      <xdr:rowOff>19050</xdr:rowOff>
    </xdr:from>
    <xdr:to>
      <xdr:col>14</xdr:col>
      <xdr:colOff>6350</xdr:colOff>
      <xdr:row>56</xdr:row>
      <xdr:rowOff>33861</xdr:rowOff>
    </xdr:to>
    <xdr:sp macro="" textlink="">
      <xdr:nvSpPr>
        <xdr:cNvPr id="438290" name="Textbox_Title1En">
          <a:extLst>
            <a:ext uri="{FF2B5EF4-FFF2-40B4-BE49-F238E27FC236}">
              <a16:creationId xmlns:a16="http://schemas.microsoft.com/office/drawing/2014/main" id="{00000000-0008-0000-1000-000012B00600}"/>
            </a:ext>
          </a:extLst>
        </xdr:cNvPr>
        <xdr:cNvSpPr txBox="1"/>
      </xdr:nvSpPr>
      <xdr:spPr>
        <a:xfrm>
          <a:off x="59531" y="7439025"/>
          <a:ext cx="5280819"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xdr:twoCellAnchor editAs="absolute">
    <xdr:from>
      <xdr:col>0</xdr:col>
      <xdr:colOff>20954</xdr:colOff>
      <xdr:row>2</xdr:row>
      <xdr:rowOff>63211</xdr:rowOff>
    </xdr:from>
    <xdr:to>
      <xdr:col>8</xdr:col>
      <xdr:colOff>97154</xdr:colOff>
      <xdr:row>9</xdr:row>
      <xdr:rowOff>79513</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20954" y="472786"/>
          <a:ext cx="2476500"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editAs="absolute">
    <xdr:from>
      <xdr:col>2</xdr:col>
      <xdr:colOff>89289</xdr:colOff>
      <xdr:row>0</xdr:row>
      <xdr:rowOff>0</xdr:rowOff>
    </xdr:from>
    <xdr:to>
      <xdr:col>5</xdr:col>
      <xdr:colOff>173192</xdr:colOff>
      <xdr:row>2</xdr:row>
      <xdr:rowOff>81471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139" y="0"/>
          <a:ext cx="1131653" cy="491046"/>
        </a:xfrm>
        <a:prstGeom prst="rect">
          <a:avLst/>
        </a:prstGeom>
      </xdr:spPr>
    </xdr:pic>
    <xdr:clientData/>
  </xdr:twoCellAnchor>
  <xdr:twoCellAnchor editAs="absolute">
    <xdr:from>
      <xdr:col>12</xdr:col>
      <xdr:colOff>2550</xdr:colOff>
      <xdr:row>1</xdr:row>
      <xdr:rowOff>1224</xdr:rowOff>
    </xdr:from>
    <xdr:to>
      <xdr:col>18</xdr:col>
      <xdr:colOff>0</xdr:colOff>
      <xdr:row>7</xdr:row>
      <xdr:rowOff>5058</xdr:rowOff>
    </xdr:to>
    <xdr:sp macro="" textlink="">
      <xdr:nvSpPr>
        <xdr:cNvPr id="4" name="Rectangle: Rounded Corners 3">
          <a:extLst>
            <a:ext uri="{FF2B5EF4-FFF2-40B4-BE49-F238E27FC236}">
              <a16:creationId xmlns:a16="http://schemas.microsoft.com/office/drawing/2014/main" id="{00000000-0008-0000-1000-000004000000}"/>
            </a:ext>
          </a:extLst>
        </xdr:cNvPr>
        <xdr:cNvSpPr/>
      </xdr:nvSpPr>
      <xdr:spPr>
        <a:xfrm>
          <a:off x="4650750" y="258399"/>
          <a:ext cx="2588250"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21</xdr:col>
      <xdr:colOff>91194</xdr:colOff>
      <xdr:row>0</xdr:row>
      <xdr:rowOff>0</xdr:rowOff>
    </xdr:from>
    <xdr:to>
      <xdr:col>24</xdr:col>
      <xdr:colOff>175097</xdr:colOff>
      <xdr:row>2</xdr:row>
      <xdr:rowOff>81471</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1194" y="0"/>
          <a:ext cx="1131653" cy="491046"/>
        </a:xfrm>
        <a:prstGeom prst="rect">
          <a:avLst/>
        </a:prstGeom>
      </xdr:spPr>
    </xdr:pic>
    <xdr:clientData/>
  </xdr:twoCellAnchor>
  <xdr:twoCellAnchor editAs="absolute">
    <xdr:from>
      <xdr:col>31</xdr:col>
      <xdr:colOff>4455</xdr:colOff>
      <xdr:row>1</xdr:row>
      <xdr:rowOff>1224</xdr:rowOff>
    </xdr:from>
    <xdr:to>
      <xdr:col>37</xdr:col>
      <xdr:colOff>0</xdr:colOff>
      <xdr:row>7</xdr:row>
      <xdr:rowOff>5058</xdr:rowOff>
    </xdr:to>
    <xdr:sp macro="" textlink="">
      <xdr:nvSpPr>
        <xdr:cNvPr id="9" name="Rectangle: Rounded Corners 8">
          <a:extLst>
            <a:ext uri="{FF2B5EF4-FFF2-40B4-BE49-F238E27FC236}">
              <a16:creationId xmlns:a16="http://schemas.microsoft.com/office/drawing/2014/main" id="{00000000-0008-0000-1000-000009000000}"/>
            </a:ext>
          </a:extLst>
        </xdr:cNvPr>
        <xdr:cNvSpPr/>
      </xdr:nvSpPr>
      <xdr:spPr>
        <a:xfrm>
          <a:off x="11948805" y="258399"/>
          <a:ext cx="2586345" cy="918234"/>
        </a:xfrm>
        <a:prstGeom prst="roundRect">
          <a:avLst>
            <a:gd name="adj" fmla="val 2746"/>
          </a:avLst>
        </a:prstGeom>
        <a:noFill/>
        <a:ln w="9525">
          <a:solidFill>
            <a:srgbClr val="1185E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a:p>
          <a:pPr algn="l"/>
          <a:endParaRPr lang="en-US"/>
        </a:p>
      </xdr:txBody>
    </xdr:sp>
    <xdr:clientData/>
  </xdr:twoCellAnchor>
  <xdr:twoCellAnchor editAs="absolute">
    <xdr:from>
      <xdr:col>19</xdr:col>
      <xdr:colOff>22860</xdr:colOff>
      <xdr:row>2</xdr:row>
      <xdr:rowOff>63211</xdr:rowOff>
    </xdr:from>
    <xdr:to>
      <xdr:col>28</xdr:col>
      <xdr:colOff>671677</xdr:colOff>
      <xdr:row>9</xdr:row>
      <xdr:rowOff>79513</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7319010" y="472786"/>
          <a:ext cx="3315817" cy="85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en-CA" sz="1200" b="1" i="0" u="none" strike="noStrike">
              <a:solidFill>
                <a:schemeClr val="dk1"/>
              </a:solidFill>
              <a:effectLst/>
              <a:latin typeface="+mn-lt"/>
              <a:ea typeface="+mn-ea"/>
              <a:cs typeface="+mn-cs"/>
            </a:rPr>
            <a:t>REGENT INSTRUMENTS INC.</a:t>
          </a:r>
          <a:r>
            <a:rPr lang="en-CA" sz="1200"/>
            <a:t> </a:t>
          </a:r>
        </a:p>
        <a:p>
          <a:pPr algn="l">
            <a:lnSpc>
              <a:spcPts val="900"/>
            </a:lnSpc>
          </a:pPr>
          <a:r>
            <a:rPr lang="en-CA" sz="1000" b="0" i="0" u="none" strike="noStrike">
              <a:solidFill>
                <a:schemeClr val="dk1"/>
              </a:solidFill>
              <a:effectLst/>
              <a:latin typeface="+mn-lt"/>
              <a:ea typeface="+mn-ea"/>
              <a:cs typeface="+mn-cs"/>
            </a:rPr>
            <a:t>7140, Blvd Wilfrid-Hamel</a:t>
          </a:r>
          <a:r>
            <a:rPr lang="en-CA" sz="1000"/>
            <a:t> </a:t>
          </a:r>
        </a:p>
        <a:p>
          <a:pPr algn="l">
            <a:lnSpc>
              <a:spcPts val="900"/>
            </a:lnSpc>
          </a:pPr>
          <a:r>
            <a:rPr lang="en-CA" sz="1000" b="0" i="0" u="none" strike="noStrike">
              <a:solidFill>
                <a:schemeClr val="dk1"/>
              </a:solidFill>
              <a:effectLst/>
              <a:latin typeface="+mn-lt"/>
              <a:ea typeface="+mn-ea"/>
              <a:cs typeface="+mn-cs"/>
            </a:rPr>
            <a:t>Quebec, QC, G2G 1B5 CANADA</a:t>
          </a:r>
        </a:p>
        <a:p>
          <a:pPr marL="0" marR="0" lvl="0" indent="0" defTabSz="914400" eaLnBrk="1" fontAlgn="auto" latinLnBrk="0" hangingPunct="1">
            <a:lnSpc>
              <a:spcPts val="900"/>
            </a:lnSpc>
            <a:spcBef>
              <a:spcPts val="0"/>
            </a:spcBef>
            <a:spcAft>
              <a:spcPts val="0"/>
            </a:spcAft>
            <a:buClrTx/>
            <a:buSzTx/>
            <a:buFontTx/>
            <a:buNone/>
            <a:tabLst/>
            <a:defRPr/>
          </a:pPr>
          <a:r>
            <a:rPr lang="en-CA" sz="1000" b="0" i="0">
              <a:solidFill>
                <a:schemeClr val="bg1">
                  <a:lumMod val="50000"/>
                </a:schemeClr>
              </a:solidFill>
              <a:effectLst/>
              <a:latin typeface="+mn-lt"/>
              <a:ea typeface="+mn-ea"/>
              <a:cs typeface="+mn-cs"/>
            </a:rPr>
            <a:t>sales@regentinstruments.com</a:t>
          </a:r>
        </a:p>
        <a:p>
          <a:pPr marL="0" marR="0" lvl="0" indent="0" defTabSz="914400" eaLnBrk="1" fontAlgn="auto" latinLnBrk="0" hangingPunct="1">
            <a:lnSpc>
              <a:spcPts val="900"/>
            </a:lnSpc>
            <a:spcBef>
              <a:spcPts val="0"/>
            </a:spcBef>
            <a:spcAft>
              <a:spcPts val="0"/>
            </a:spcAft>
            <a:buClrTx/>
            <a:buSzTx/>
            <a:buFontTx/>
            <a:buNone/>
            <a:tabLst/>
            <a:defRPr/>
          </a:pPr>
          <a:r>
            <a:rPr lang="en-CA" sz="1000" b="0" i="0" u="none" strike="noStrike">
              <a:solidFill>
                <a:schemeClr val="bg1">
                  <a:lumMod val="50000"/>
                </a:schemeClr>
              </a:solidFill>
              <a:effectLst/>
              <a:latin typeface="+mn-lt"/>
              <a:ea typeface="+mn-ea"/>
              <a:cs typeface="+mn-cs"/>
            </a:rPr>
            <a:t>Tel. 418 653-1347    </a:t>
          </a:r>
          <a:r>
            <a:rPr lang="en-CA" sz="1000">
              <a:solidFill>
                <a:schemeClr val="bg1">
                  <a:lumMod val="50000"/>
                </a:schemeClr>
              </a:solidFill>
            </a:rPr>
            <a:t>  </a:t>
          </a:r>
          <a:r>
            <a:rPr lang="en-CA" sz="1000" b="0" i="0">
              <a:solidFill>
                <a:schemeClr val="bg1">
                  <a:lumMod val="50000"/>
                </a:schemeClr>
              </a:solidFill>
              <a:effectLst/>
              <a:latin typeface="+mn-lt"/>
              <a:ea typeface="+mn-ea"/>
              <a:cs typeface="+mn-cs"/>
            </a:rPr>
            <a:t>DUNS 25-526-0127</a:t>
          </a:r>
          <a:r>
            <a:rPr lang="en-CA" sz="1000">
              <a:solidFill>
                <a:schemeClr val="bg1">
                  <a:lumMod val="50000"/>
                </a:schemeClr>
              </a:solidFill>
              <a:effectLst/>
              <a:latin typeface="+mn-lt"/>
              <a:ea typeface="+mn-ea"/>
              <a:cs typeface="+mn-cs"/>
            </a:rPr>
            <a:t> </a:t>
          </a:r>
          <a:endParaRPr lang="en-CA" sz="1000">
            <a:solidFill>
              <a:schemeClr val="bg1">
                <a:lumMod val="50000"/>
              </a:schemeClr>
            </a:solidFill>
            <a:effectLst/>
          </a:endParaRPr>
        </a:p>
        <a:p>
          <a:pPr>
            <a:lnSpc>
              <a:spcPts val="900"/>
            </a:lnSpc>
          </a:pPr>
          <a:endParaRPr lang="en-CA" sz="1000"/>
        </a:p>
      </xdr:txBody>
    </xdr:sp>
    <xdr:clientData/>
  </xdr:twoCellAnchor>
  <xdr:twoCellAnchor>
    <xdr:from>
      <xdr:col>0</xdr:col>
      <xdr:colOff>0</xdr:colOff>
      <xdr:row>55</xdr:row>
      <xdr:rowOff>161858</xdr:rowOff>
    </xdr:from>
    <xdr:to>
      <xdr:col>13</xdr:col>
      <xdr:colOff>79742</xdr:colOff>
      <xdr:row>59</xdr:row>
      <xdr:rowOff>91373</xdr:rowOff>
    </xdr:to>
    <xdr:sp macro="" textlink="">
      <xdr:nvSpPr>
        <xdr:cNvPr id="16" name="Textbox_Comments1Fr" hidden="1">
          <a:extLst>
            <a:ext uri="{FF2B5EF4-FFF2-40B4-BE49-F238E27FC236}">
              <a16:creationId xmlns:a16="http://schemas.microsoft.com/office/drawing/2014/main" id="{00000000-0008-0000-1000-000010000000}"/>
            </a:ext>
          </a:extLst>
        </xdr:cNvPr>
        <xdr:cNvSpPr txBox="1"/>
      </xdr:nvSpPr>
      <xdr:spPr>
        <a:xfrm>
          <a:off x="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1">
              <a:solidFill>
                <a:srgbClr val="FF0000"/>
              </a:solidFill>
            </a:rPr>
            <a:t>Les taxes étrangères, TVA, frais de courtage et le dédouanement ne sont pas inclus dans les Frais de Port.  </a:t>
          </a:r>
          <a:r>
            <a:rPr lang="en-CA" sz="850" b="0"/>
            <a:t>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19</xdr:col>
      <xdr:colOff>0</xdr:colOff>
      <xdr:row>55</xdr:row>
      <xdr:rowOff>161858</xdr:rowOff>
    </xdr:from>
    <xdr:to>
      <xdr:col>32</xdr:col>
      <xdr:colOff>79742</xdr:colOff>
      <xdr:row>59</xdr:row>
      <xdr:rowOff>91373</xdr:rowOff>
    </xdr:to>
    <xdr:sp macro="" textlink="">
      <xdr:nvSpPr>
        <xdr:cNvPr id="17" name="Textbox_Comments2Fr" hidden="1">
          <a:extLst>
            <a:ext uri="{FF2B5EF4-FFF2-40B4-BE49-F238E27FC236}">
              <a16:creationId xmlns:a16="http://schemas.microsoft.com/office/drawing/2014/main" id="{00000000-0008-0000-1000-000011000000}"/>
            </a:ext>
          </a:extLst>
        </xdr:cNvPr>
        <xdr:cNvSpPr txBox="1"/>
      </xdr:nvSpPr>
      <xdr:spPr>
        <a:xfrm>
          <a:off x="7296150" y="7648508"/>
          <a:ext cx="4823192"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CA" sz="850" b="0">
              <a:solidFill>
                <a:srgbClr val="FF0000"/>
              </a:solidFill>
            </a:rPr>
            <a:t>Les taxes étrangères, TVA, frais de courtage et le dédouanement ne sont pas inclus dans les Frais de Port. </a:t>
          </a:r>
          <a:r>
            <a:rPr lang="en-CA" sz="850" b="0"/>
            <a:t> La marchandise sera retenue à la douane par le transporteur (Fedex, UPS, DHL...) jusqu'à ce que ces frais lui soient payés par le destinataire (qui sera contacté par le transporteur). S'ils sont payés, ils livreront, sinon ils renverront le(s) colis à l'expéditeur (ou le(s) détruiront).</a:t>
          </a:r>
        </a:p>
      </xdr:txBody>
    </xdr:sp>
    <xdr:clientData/>
  </xdr:twoCellAnchor>
  <xdr:twoCellAnchor>
    <xdr:from>
      <xdr:col>0</xdr:col>
      <xdr:colOff>529</xdr:colOff>
      <xdr:row>59</xdr:row>
      <xdr:rowOff>152939</xdr:rowOff>
    </xdr:from>
    <xdr:to>
      <xdr:col>15</xdr:col>
      <xdr:colOff>104774</xdr:colOff>
      <xdr:row>61</xdr:row>
      <xdr:rowOff>164018</xdr:rowOff>
    </xdr:to>
    <xdr:sp macro="" textlink="">
      <xdr:nvSpPr>
        <xdr:cNvPr id="18" name="Textbox_Methods1Fr" hidden="1">
          <a:extLst>
            <a:ext uri="{FF2B5EF4-FFF2-40B4-BE49-F238E27FC236}">
              <a16:creationId xmlns:a16="http://schemas.microsoft.com/office/drawing/2014/main" id="{00000000-0008-0000-1000-000012000000}"/>
            </a:ext>
          </a:extLst>
        </xdr:cNvPr>
        <xdr:cNvSpPr txBox="1"/>
      </xdr:nvSpPr>
      <xdr:spPr>
        <a:xfrm>
          <a:off x="529" y="8373014"/>
          <a:ext cx="5647795"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18</xdr:col>
      <xdr:colOff>49218</xdr:colOff>
      <xdr:row>59</xdr:row>
      <xdr:rowOff>152939</xdr:rowOff>
    </xdr:from>
    <xdr:to>
      <xdr:col>34</xdr:col>
      <xdr:colOff>238125</xdr:colOff>
      <xdr:row>61</xdr:row>
      <xdr:rowOff>164018</xdr:rowOff>
    </xdr:to>
    <xdr:sp macro="" textlink="">
      <xdr:nvSpPr>
        <xdr:cNvPr id="19" name="Textbox_Methods2Fr" hidden="1">
          <a:extLst>
            <a:ext uri="{FF2B5EF4-FFF2-40B4-BE49-F238E27FC236}">
              <a16:creationId xmlns:a16="http://schemas.microsoft.com/office/drawing/2014/main" id="{00000000-0008-0000-1000-000013000000}"/>
            </a:ext>
          </a:extLst>
        </xdr:cNvPr>
        <xdr:cNvSpPr txBox="1"/>
      </xdr:nvSpPr>
      <xdr:spPr>
        <a:xfrm>
          <a:off x="7288218" y="8373014"/>
          <a:ext cx="5789607" cy="41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r>
            <a:rPr lang="en-CA" sz="900" b="0"/>
            <a:t>Nous acceptons les Virements bancaires, MasterCard et Visa.  Chèques acceptés sous certaines conditions seulement.</a:t>
          </a:r>
        </a:p>
        <a:p>
          <a:pPr>
            <a:lnSpc>
              <a:spcPts val="300"/>
            </a:lnSpc>
          </a:pPr>
          <a:endParaRPr lang="en-CA" sz="850" b="1"/>
        </a:p>
        <a:p>
          <a:pPr>
            <a:lnSpc>
              <a:spcPts val="900"/>
            </a:lnSpc>
          </a:pPr>
          <a:r>
            <a:rPr lang="en-CA" sz="850" b="1"/>
            <a:t>Informations pour Virement</a:t>
          </a:r>
          <a:r>
            <a:rPr lang="en-CA" sz="850" b="1" baseline="0"/>
            <a:t> Bancaire</a:t>
          </a:r>
          <a:endParaRPr lang="en-CA" sz="850" b="1"/>
        </a:p>
        <a:p>
          <a:pPr>
            <a:lnSpc>
              <a:spcPts val="900"/>
            </a:lnSpc>
          </a:pPr>
          <a:endParaRPr lang="en-CA" sz="850" b="1"/>
        </a:p>
      </xdr:txBody>
    </xdr:sp>
    <xdr:clientData/>
  </xdr:twoCellAnchor>
  <xdr:twoCellAnchor>
    <xdr:from>
      <xdr:col>4</xdr:col>
      <xdr:colOff>28633</xdr:colOff>
      <xdr:row>42</xdr:row>
      <xdr:rowOff>31709</xdr:rowOff>
    </xdr:from>
    <xdr:to>
      <xdr:col>15</xdr:col>
      <xdr:colOff>359228</xdr:colOff>
      <xdr:row>47</xdr:row>
      <xdr:rowOff>54428</xdr:rowOff>
    </xdr:to>
    <xdr:sp macro="" textlink="Vars!C180">
      <xdr:nvSpPr>
        <xdr:cNvPr id="20" name="Textbox_Paid" hidden="1">
          <a:extLst>
            <a:ext uri="{FF2B5EF4-FFF2-40B4-BE49-F238E27FC236}">
              <a16:creationId xmlns:a16="http://schemas.microsoft.com/office/drawing/2014/main" id="{00000000-0008-0000-1000-000014000000}"/>
            </a:ext>
          </a:extLst>
        </xdr:cNvPr>
        <xdr:cNvSpPr txBox="1"/>
      </xdr:nvSpPr>
      <xdr:spPr>
        <a:xfrm>
          <a:off x="885883" y="5851484"/>
          <a:ext cx="5016895" cy="68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2CC7DE6-65CF-422B-8D38-3E67C66B17EF}" type="TxLink">
            <a:rPr lang="en-US" sz="1800" b="1" i="0" u="none" strike="noStrike">
              <a:solidFill>
                <a:srgbClr val="FF0000"/>
              </a:solidFill>
              <a:effectLst/>
              <a:latin typeface="Calibri"/>
              <a:ea typeface="+mn-ea"/>
              <a:cs typeface="Calibri"/>
            </a:rPr>
            <a:pPr algn="ctr"/>
            <a:t>PAID IN FULL
Amount due: 0</a:t>
          </a:fld>
          <a:endParaRPr lang="en-CA" sz="2800" b="1">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5</xdr:row>
          <xdr:rowOff>25400</xdr:rowOff>
        </xdr:from>
        <xdr:to>
          <xdr:col>8</xdr:col>
          <xdr:colOff>127000</xdr:colOff>
          <xdr:row>6</xdr:row>
          <xdr:rowOff>25400</xdr:rowOff>
        </xdr:to>
        <xdr:sp macro="" textlink="">
          <xdr:nvSpPr>
            <xdr:cNvPr id="438274" name="CheckboxDetailedPrices" descr="Detailed Prices" hidden="1">
              <a:extLst>
                <a:ext uri="{63B3BB69-23CF-44E3-9099-C40C66FF867C}">
                  <a14:compatExt spid="_x0000_s438274"/>
                </a:ext>
                <a:ext uri="{FF2B5EF4-FFF2-40B4-BE49-F238E27FC236}">
                  <a16:creationId xmlns:a16="http://schemas.microsoft.com/office/drawing/2014/main" id="{00000000-0008-0000-1000-000002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xdr:row>
          <xdr:rowOff>139700</xdr:rowOff>
        </xdr:from>
        <xdr:to>
          <xdr:col>8</xdr:col>
          <xdr:colOff>127000</xdr:colOff>
          <xdr:row>4</xdr:row>
          <xdr:rowOff>139700</xdr:rowOff>
        </xdr:to>
        <xdr:sp macro="" textlink="">
          <xdr:nvSpPr>
            <xdr:cNvPr id="438275" name="CheckboxSameClient" descr="Detailed Prices" hidden="1">
              <a:extLst>
                <a:ext uri="{63B3BB69-23CF-44E3-9099-C40C66FF867C}">
                  <a14:compatExt spid="_x0000_s438275"/>
                </a:ext>
                <a:ext uri="{FF2B5EF4-FFF2-40B4-BE49-F238E27FC236}">
                  <a16:creationId xmlns:a16="http://schemas.microsoft.com/office/drawing/2014/main" id="{00000000-0008-0000-1000-000003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xdr:row>
          <xdr:rowOff>25400</xdr:rowOff>
        </xdr:from>
        <xdr:to>
          <xdr:col>8</xdr:col>
          <xdr:colOff>127000</xdr:colOff>
          <xdr:row>7</xdr:row>
          <xdr:rowOff>25400</xdr:rowOff>
        </xdr:to>
        <xdr:sp macro="" textlink="">
          <xdr:nvSpPr>
            <xdr:cNvPr id="438276" name="CheckboxSoftwareHardware" descr="Detailed Prices" hidden="1">
              <a:extLst>
                <a:ext uri="{63B3BB69-23CF-44E3-9099-C40C66FF867C}">
                  <a14:compatExt spid="_x0000_s438276"/>
                </a:ext>
                <a:ext uri="{FF2B5EF4-FFF2-40B4-BE49-F238E27FC236}">
                  <a16:creationId xmlns:a16="http://schemas.microsoft.com/office/drawing/2014/main" id="{00000000-0008-0000-1000-000004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5</xdr:row>
          <xdr:rowOff>25400</xdr:rowOff>
        </xdr:from>
        <xdr:to>
          <xdr:col>10</xdr:col>
          <xdr:colOff>127000</xdr:colOff>
          <xdr:row>6</xdr:row>
          <xdr:rowOff>25400</xdr:rowOff>
        </xdr:to>
        <xdr:sp macro="" textlink="">
          <xdr:nvSpPr>
            <xdr:cNvPr id="438277" name="CheckboxFilledByCustomer" descr="Detailed Prices" hidden="1">
              <a:extLst>
                <a:ext uri="{63B3BB69-23CF-44E3-9099-C40C66FF867C}">
                  <a14:compatExt spid="_x0000_s438277"/>
                </a:ext>
                <a:ext uri="{FF2B5EF4-FFF2-40B4-BE49-F238E27FC236}">
                  <a16:creationId xmlns:a16="http://schemas.microsoft.com/office/drawing/2014/main" id="{00000000-0008-0000-1000-000005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787400</xdr:colOff>
          <xdr:row>6</xdr:row>
          <xdr:rowOff>25400</xdr:rowOff>
        </xdr:from>
        <xdr:to>
          <xdr:col>10</xdr:col>
          <xdr:colOff>127000</xdr:colOff>
          <xdr:row>7</xdr:row>
          <xdr:rowOff>25400</xdr:rowOff>
        </xdr:to>
        <xdr:sp macro="" textlink="">
          <xdr:nvSpPr>
            <xdr:cNvPr id="438278" name="CheckBoxInternetDownload" descr="Detailed Prices" hidden="1">
              <a:extLst>
                <a:ext uri="{63B3BB69-23CF-44E3-9099-C40C66FF867C}">
                  <a14:compatExt spid="_x0000_s438278"/>
                </a:ext>
                <a:ext uri="{FF2B5EF4-FFF2-40B4-BE49-F238E27FC236}">
                  <a16:creationId xmlns:a16="http://schemas.microsoft.com/office/drawing/2014/main" id="{00000000-0008-0000-1000-000006B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171450</xdr:rowOff>
        </xdr:from>
        <xdr:to>
          <xdr:col>17</xdr:col>
          <xdr:colOff>647700</xdr:colOff>
          <xdr:row>60</xdr:row>
          <xdr:rowOff>161925</xdr:rowOff>
        </xdr:to>
        <xdr:pic>
          <xdr:nvPicPr>
            <xdr:cNvPr id="21" name="Picture 20">
              <a:extLst>
                <a:ext uri="{FF2B5EF4-FFF2-40B4-BE49-F238E27FC236}">
                  <a16:creationId xmlns:a16="http://schemas.microsoft.com/office/drawing/2014/main" id="{00000000-0008-0000-1000-000015000000}"/>
                </a:ext>
              </a:extLst>
            </xdr:cNvPr>
            <xdr:cNvPicPr>
              <a:picLocks noChangeAspect="1" noChangeArrowheads="1"/>
              <a:extLst>
                <a:ext uri="{84589F7E-364E-4C9E-8A38-B11213B215E9}">
                  <a14:cameraTool cellRange="FLAGS_IndexMatch" spid="_x0000_s797000"/>
                </a:ext>
              </a:extLst>
            </xdr:cNvPicPr>
          </xdr:nvPicPr>
          <xdr:blipFill>
            <a:blip xmlns:r="http://schemas.openxmlformats.org/officeDocument/2006/relationships" r:embed="rId2"/>
            <a:srcRect/>
            <a:stretch>
              <a:fillRect/>
            </a:stretch>
          </xdr:blipFill>
          <xdr:spPr bwMode="auto">
            <a:xfrm>
              <a:off x="5943600" y="8391525"/>
              <a:ext cx="1219200" cy="1905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55</xdr:row>
      <xdr:rowOff>162722</xdr:rowOff>
    </xdr:from>
    <xdr:to>
      <xdr:col>13</xdr:col>
      <xdr:colOff>479534</xdr:colOff>
      <xdr:row>60</xdr:row>
      <xdr:rowOff>58014</xdr:rowOff>
    </xdr:to>
    <xdr:sp macro="" textlink="">
      <xdr:nvSpPr>
        <xdr:cNvPr id="438280" name="Textbox_Comments1Fr" hidden="1">
          <a:extLst>
            <a:ext uri="{FF2B5EF4-FFF2-40B4-BE49-F238E27FC236}">
              <a16:creationId xmlns:a16="http://schemas.microsoft.com/office/drawing/2014/main" id="{00000000-0008-0000-1000-000008B00600}"/>
            </a:ext>
          </a:extLst>
        </xdr:cNvPr>
        <xdr:cNvSpPr txBox="1"/>
      </xdr:nvSpPr>
      <xdr:spPr>
        <a:xfrm>
          <a:off x="0" y="7649372"/>
          <a:ext cx="5222984" cy="828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NON COMPRIS DANS LES FRAIS DE PORT: </a:t>
          </a:r>
          <a:r>
            <a:rPr lang="en-CA" sz="750" b="1">
              <a:solidFill>
                <a:sysClr val="windowText" lastClr="000000"/>
              </a:solidFill>
            </a:rPr>
            <a:t>taxes locales, TVA, frais de courtage et le dédouanement ou tout autre frais imposé par le pays importateur.  </a:t>
          </a:r>
          <a:r>
            <a:rPr lang="en-CA" sz="750" b="0">
              <a:solidFill>
                <a:sysClr val="windowText" lastClr="000000"/>
              </a:solidFill>
            </a:rPr>
            <a:t>Le</a:t>
          </a:r>
          <a:r>
            <a:rPr lang="en-CA" sz="750" b="0"/>
            <a:t> transporteur (Fedex, UPS, DHL...) retiendra la marchandise à la douane et vous contactera (par téléphone ou courriel) pour vous demander de payer ces frais. S'ils sont payés, ils livrent, sinon ils renvoient la marchandise 				à l'expéditeur ou la détruisent.</a:t>
          </a:r>
          <a:endParaRPr lang="en-CA" sz="850" b="0"/>
        </a:p>
      </xdr:txBody>
    </xdr:sp>
    <xdr:clientData/>
  </xdr:twoCellAnchor>
  <xdr:twoCellAnchor>
    <xdr:from>
      <xdr:col>19</xdr:col>
      <xdr:colOff>0</xdr:colOff>
      <xdr:row>55</xdr:row>
      <xdr:rowOff>162723</xdr:rowOff>
    </xdr:from>
    <xdr:to>
      <xdr:col>32</xdr:col>
      <xdr:colOff>545224</xdr:colOff>
      <xdr:row>60</xdr:row>
      <xdr:rowOff>27708</xdr:rowOff>
    </xdr:to>
    <xdr:sp macro="" textlink="">
      <xdr:nvSpPr>
        <xdr:cNvPr id="438281" name="Textbox_Comments2Fr" hidden="1">
          <a:extLst>
            <a:ext uri="{FF2B5EF4-FFF2-40B4-BE49-F238E27FC236}">
              <a16:creationId xmlns:a16="http://schemas.microsoft.com/office/drawing/2014/main" id="{00000000-0008-0000-1000-000009B00600}"/>
            </a:ext>
          </a:extLst>
        </xdr:cNvPr>
        <xdr:cNvSpPr txBox="1"/>
      </xdr:nvSpPr>
      <xdr:spPr>
        <a:xfrm>
          <a:off x="7296150" y="7649373"/>
          <a:ext cx="5288674" cy="79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0" lang="en-CA" sz="850" b="1" i="0" u="none" strike="noStrike" kern="0" cap="none" spc="0" normalizeH="0" baseline="0" noProof="0">
            <a:ln>
              <a:noFill/>
            </a:ln>
            <a:solidFill>
              <a:srgbClr val="FF0000"/>
            </a:solidFill>
            <a:effectLst/>
            <a:uLnTx/>
            <a:uFillTx/>
            <a:latin typeface="+mn-lt"/>
            <a:ea typeface="+mn-ea"/>
            <a:cs typeface="+mn-cs"/>
          </a:endParaRPr>
        </a:p>
        <a:p>
          <a:pPr>
            <a:lnSpc>
              <a:spcPts val="1100"/>
            </a:lnSpc>
          </a:pPr>
          <a:r>
            <a:rPr kumimoji="0" lang="en-CA" sz="850" b="1" i="0" u="none" strike="noStrike" kern="0" cap="none" spc="0" normalizeH="0" baseline="0" noProof="0">
              <a:ln>
                <a:noFill/>
              </a:ln>
              <a:solidFill>
                <a:srgbClr val="FF0000"/>
              </a:solidFill>
              <a:effectLst/>
              <a:uLnTx/>
              <a:uFillTx/>
              <a:latin typeface="+mn-lt"/>
              <a:ea typeface="+mn-ea"/>
              <a:cs typeface="+mn-cs"/>
            </a:rPr>
            <a:t>NON COMPRIS DANS LES FRAIS DE PORT</a:t>
          </a:r>
          <a:r>
            <a:rPr lang="en-CA" sz="850" b="0">
              <a:solidFill>
                <a:srgbClr val="FF0000"/>
              </a:solidFill>
            </a:rPr>
            <a:t>: </a:t>
          </a:r>
          <a:r>
            <a:rPr lang="en-CA" sz="750" b="1">
              <a:solidFill>
                <a:sysClr val="windowText" lastClr="000000"/>
              </a:solidFill>
            </a:rPr>
            <a:t>taxes locales, TVA, frais de courtage et le dédouanement ou tout autre frais imposé par le pays importateur.</a:t>
          </a:r>
          <a:r>
            <a:rPr lang="en-CA" sz="750" b="0">
              <a:solidFill>
                <a:sysClr val="windowText" lastClr="000000"/>
              </a:solidFill>
            </a:rPr>
            <a:t>  Le </a:t>
          </a:r>
          <a:r>
            <a:rPr lang="en-CA" sz="750" b="0"/>
            <a:t>transporteur (Fedex, UPS, DHL...) retiendra la marchandise à la douane et vous contactera (par téléphone ou courriel) pour vous demander de payer ces frais. S'ils sont payés, ils livrent, sinon ils renvoient la marchandise 				à l'expéditeur ou la détruisent.</a:t>
          </a:r>
        </a:p>
      </xdr:txBody>
    </xdr:sp>
    <xdr:clientData/>
  </xdr:twoCellAnchor>
  <xdr:twoCellAnchor>
    <xdr:from>
      <xdr:col>1</xdr:col>
      <xdr:colOff>4329</xdr:colOff>
      <xdr:row>54</xdr:row>
      <xdr:rowOff>19050</xdr:rowOff>
    </xdr:from>
    <xdr:to>
      <xdr:col>14</xdr:col>
      <xdr:colOff>10679</xdr:colOff>
      <xdr:row>56</xdr:row>
      <xdr:rowOff>171450</xdr:rowOff>
    </xdr:to>
    <xdr:sp macro="" textlink="">
      <xdr:nvSpPr>
        <xdr:cNvPr id="438282" name="Textbox_Title1Fr" hidden="1">
          <a:extLst>
            <a:ext uri="{FF2B5EF4-FFF2-40B4-BE49-F238E27FC236}">
              <a16:creationId xmlns:a16="http://schemas.microsoft.com/office/drawing/2014/main" id="{00000000-0008-0000-1000-00000AB00600}"/>
            </a:ext>
          </a:extLst>
        </xdr:cNvPr>
        <xdr:cNvSpPr txBox="1"/>
      </xdr:nvSpPr>
      <xdr:spPr>
        <a:xfrm>
          <a:off x="61479" y="7439025"/>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20</xdr:col>
      <xdr:colOff>5154</xdr:colOff>
      <xdr:row>54</xdr:row>
      <xdr:rowOff>20189</xdr:rowOff>
    </xdr:from>
    <xdr:to>
      <xdr:col>33</xdr:col>
      <xdr:colOff>11504</xdr:colOff>
      <xdr:row>56</xdr:row>
      <xdr:rowOff>172589</xdr:rowOff>
    </xdr:to>
    <xdr:sp macro="" textlink="">
      <xdr:nvSpPr>
        <xdr:cNvPr id="438283" name="Textbox_Title2Fr" hidden="1">
          <a:extLst>
            <a:ext uri="{FF2B5EF4-FFF2-40B4-BE49-F238E27FC236}">
              <a16:creationId xmlns:a16="http://schemas.microsoft.com/office/drawing/2014/main" id="{00000000-0008-0000-1000-00000BB00600}"/>
            </a:ext>
          </a:extLst>
        </xdr:cNvPr>
        <xdr:cNvSpPr txBox="1"/>
      </xdr:nvSpPr>
      <xdr:spPr>
        <a:xfrm>
          <a:off x="7358454" y="7440164"/>
          <a:ext cx="5283200" cy="419100"/>
        </a:xfrm>
        <a:prstGeom prst="rect">
          <a:avLst/>
        </a:prstGeom>
        <a:solidFill>
          <a:srgbClr val="B4D9F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PRIX VALABLES UNIQUEMENT POUR NOS CONDITIONS DE VENTE </a:t>
          </a:r>
          <a:r>
            <a:rPr kumimoji="0" lang="en-CA" sz="750" b="0" i="0" u="none" strike="noStrike" kern="0" cap="none" spc="0" normalizeH="0" baseline="0" noProof="0">
              <a:ln>
                <a:noFill/>
              </a:ln>
              <a:solidFill>
                <a:prstClr val="black"/>
              </a:solidFill>
              <a:effectLst/>
              <a:uLnTx/>
              <a:uFillTx/>
              <a:latin typeface="+mn-lt"/>
              <a:ea typeface="+mn-ea"/>
              <a:cs typeface="+mn-cs"/>
            </a:rPr>
            <a:t>(voir page suivante).</a:t>
          </a:r>
          <a:r>
            <a:rPr lang="en-CA" sz="850" b="1">
              <a:solidFill>
                <a:srgbClr val="FF0000"/>
              </a:solidFill>
            </a:rPr>
            <a:t> COMMANDES INTERNATIONALES DOIVENT ÊTRE PRÉPAYÉES </a:t>
          </a:r>
          <a:r>
            <a:rPr kumimoji="0" lang="en-CA" sz="750" b="0" i="0" u="none" strike="noStrike" kern="0" cap="none" spc="0" normalizeH="0" baseline="0" noProof="0">
              <a:ln>
                <a:noFill/>
              </a:ln>
              <a:solidFill>
                <a:prstClr val="black"/>
              </a:solidFill>
              <a:effectLst/>
              <a:uLnTx/>
              <a:uFillTx/>
              <a:latin typeface="+mn-lt"/>
              <a:ea typeface="+mn-ea"/>
              <a:cs typeface="+mn-cs"/>
            </a:rPr>
            <a:t>(Visa, Mastercard ou virement bancaire (voir les informations bancaires ci-dessous)). Les prix sont les mêmes pour tous les modes de paiement.</a:t>
          </a:r>
          <a:endParaRPr lang="en-CA" sz="850" b="0"/>
        </a:p>
      </xdr:txBody>
    </xdr:sp>
    <xdr:clientData/>
  </xdr:twoCellAnchor>
  <xdr:twoCellAnchor>
    <xdr:from>
      <xdr:col>0</xdr:col>
      <xdr:colOff>0</xdr:colOff>
      <xdr:row>55</xdr:row>
      <xdr:rowOff>104708</xdr:rowOff>
    </xdr:from>
    <xdr:to>
      <xdr:col>13</xdr:col>
      <xdr:colOff>584638</xdr:colOff>
      <xdr:row>59</xdr:row>
      <xdr:rowOff>145983</xdr:rowOff>
    </xdr:to>
    <xdr:sp macro="" textlink="">
      <xdr:nvSpPr>
        <xdr:cNvPr id="438288" name="Textbox_Comments1En">
          <a:extLst>
            <a:ext uri="{FF2B5EF4-FFF2-40B4-BE49-F238E27FC236}">
              <a16:creationId xmlns:a16="http://schemas.microsoft.com/office/drawing/2014/main" id="{00000000-0008-0000-1000-000010B00600}"/>
            </a:ext>
          </a:extLst>
        </xdr:cNvPr>
        <xdr:cNvSpPr txBox="1"/>
      </xdr:nvSpPr>
      <xdr:spPr>
        <a:xfrm>
          <a:off x="0" y="7591358"/>
          <a:ext cx="5328088"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a:t>
          </a:r>
          <a:r>
            <a:rPr lang="en-CA" sz="750" b="1"/>
            <a:t>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19</xdr:col>
      <xdr:colOff>0</xdr:colOff>
      <xdr:row>55</xdr:row>
      <xdr:rowOff>104708</xdr:rowOff>
    </xdr:from>
    <xdr:to>
      <xdr:col>32</xdr:col>
      <xdr:colOff>79742</xdr:colOff>
      <xdr:row>59</xdr:row>
      <xdr:rowOff>145983</xdr:rowOff>
    </xdr:to>
    <xdr:sp macro="" textlink="">
      <xdr:nvSpPr>
        <xdr:cNvPr id="438289" name="Textbox_Comments2En">
          <a:extLst>
            <a:ext uri="{FF2B5EF4-FFF2-40B4-BE49-F238E27FC236}">
              <a16:creationId xmlns:a16="http://schemas.microsoft.com/office/drawing/2014/main" id="{00000000-0008-0000-1000-000011B00600}"/>
            </a:ext>
          </a:extLst>
        </xdr:cNvPr>
        <xdr:cNvSpPr txBox="1"/>
      </xdr:nvSpPr>
      <xdr:spPr>
        <a:xfrm>
          <a:off x="7296150" y="7591358"/>
          <a:ext cx="4823192"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CA" sz="850" b="1">
            <a:solidFill>
              <a:srgbClr val="FF0000"/>
            </a:solidFill>
          </a:endParaRPr>
        </a:p>
        <a:p>
          <a:pPr>
            <a:lnSpc>
              <a:spcPts val="1100"/>
            </a:lnSpc>
          </a:pPr>
          <a:r>
            <a:rPr lang="en-CA" sz="850" b="1">
              <a:solidFill>
                <a:srgbClr val="FF0000"/>
              </a:solidFill>
            </a:rPr>
            <a:t>NOT INCLUDED IN SHIPPING COST: </a:t>
          </a:r>
          <a:r>
            <a:rPr lang="en-CA" sz="750" b="1">
              <a:solidFill>
                <a:sysClr val="windowText" lastClr="000000"/>
              </a:solidFill>
            </a:rPr>
            <a:t>Your Local Taxes, VAT, Duties, Customs Processing Fees or any fees imposed by the importing country. </a:t>
          </a:r>
          <a:r>
            <a:rPr lang="en-CA" sz="750" b="0"/>
            <a:t>The courier (Fedex, UPS, DHL...) will hold merchandise at customs and contact you (by phone or email) to pay those fees. If paid, they will deliver, if not, they will return merchandise to sender or destroy it.</a:t>
          </a:r>
        </a:p>
      </xdr:txBody>
    </xdr:sp>
    <xdr:clientData/>
  </xdr:twoCellAnchor>
  <xdr:twoCellAnchor>
    <xdr:from>
      <xdr:col>20</xdr:col>
      <xdr:colOff>4761</xdr:colOff>
      <xdr:row>54</xdr:row>
      <xdr:rowOff>19050</xdr:rowOff>
    </xdr:from>
    <xdr:to>
      <xdr:col>33</xdr:col>
      <xdr:colOff>7142</xdr:colOff>
      <xdr:row>56</xdr:row>
      <xdr:rowOff>33861</xdr:rowOff>
    </xdr:to>
    <xdr:sp macro="" textlink="">
      <xdr:nvSpPr>
        <xdr:cNvPr id="438291" name="Textbox_Title2En">
          <a:extLst>
            <a:ext uri="{FF2B5EF4-FFF2-40B4-BE49-F238E27FC236}">
              <a16:creationId xmlns:a16="http://schemas.microsoft.com/office/drawing/2014/main" id="{00000000-0008-0000-1000-000013B00600}"/>
            </a:ext>
          </a:extLst>
        </xdr:cNvPr>
        <xdr:cNvSpPr txBox="1"/>
      </xdr:nvSpPr>
      <xdr:spPr>
        <a:xfrm>
          <a:off x="7358061" y="7439025"/>
          <a:ext cx="5279231" cy="281511"/>
        </a:xfrm>
        <a:prstGeom prst="rect">
          <a:avLst/>
        </a:prstGeom>
        <a:solidFill>
          <a:srgbClr val="B4D9FA"/>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pPr>
            <a:lnSpc>
              <a:spcPts val="1100"/>
            </a:lnSpc>
          </a:pPr>
          <a:r>
            <a:rPr lang="en-CA" sz="850" b="1">
              <a:solidFill>
                <a:srgbClr val="FF0000"/>
              </a:solidFill>
            </a:rPr>
            <a:t>PRICES VALID ONLY FOR OUR SALES TERMS &amp; CONDITIONS </a:t>
          </a:r>
          <a:r>
            <a:rPr lang="en-CA" sz="750" b="0"/>
            <a:t>(see</a:t>
          </a:r>
          <a:r>
            <a:rPr lang="en-CA" sz="750" b="0" baseline="0"/>
            <a:t> next page). </a:t>
          </a:r>
          <a:r>
            <a:rPr kumimoji="0" lang="en-CA" sz="850" b="1" i="0" u="none" strike="noStrike" kern="0" cap="none" spc="0" normalizeH="0" baseline="0" noProof="0">
              <a:ln>
                <a:noFill/>
              </a:ln>
              <a:solidFill>
                <a:srgbClr val="FF0000"/>
              </a:solidFill>
              <a:effectLst/>
              <a:uLnTx/>
              <a:uFillTx/>
              <a:latin typeface="+mn-lt"/>
              <a:ea typeface="+mn-ea"/>
              <a:cs typeface="+mn-cs"/>
            </a:rPr>
            <a:t>INTERNATIONAL ORDERS MUST BE PREPAID </a:t>
          </a:r>
          <a:r>
            <a:rPr lang="en-CA" sz="750" b="0"/>
            <a:t>(Visa, Mastercard or Wire Transfer, see bank information below). Prices are the same for all payment methods.</a:t>
          </a:r>
        </a:p>
        <a:p>
          <a:pPr>
            <a:lnSpc>
              <a:spcPts val="1100"/>
            </a:lnSpc>
          </a:pPr>
          <a:endParaRPr lang="en-CA" sz="850" b="0"/>
        </a:p>
      </xdr:txBody>
    </xdr:sp>
    <xdr:clientData/>
  </xdr:twoCellAnchor>
  <mc:AlternateContent xmlns:mc="http://schemas.openxmlformats.org/markup-compatibility/2006">
    <mc:Choice xmlns:a14="http://schemas.microsoft.com/office/drawing/2010/main" Requires="a14">
      <xdr:twoCellAnchor>
        <xdr:from>
          <xdr:col>4</xdr:col>
          <xdr:colOff>63500</xdr:colOff>
          <xdr:row>55</xdr:row>
          <xdr:rowOff>25400</xdr:rowOff>
        </xdr:from>
        <xdr:to>
          <xdr:col>6</xdr:col>
          <xdr:colOff>368300</xdr:colOff>
          <xdr:row>55</xdr:row>
          <xdr:rowOff>177800</xdr:rowOff>
        </xdr:to>
        <xdr:sp macro="" textlink="">
          <xdr:nvSpPr>
            <xdr:cNvPr id="438273" name="Button 1" hidden="1">
              <a:extLst>
                <a:ext uri="{63B3BB69-23CF-44E3-9099-C40C66FF867C}">
                  <a14:compatExt spid="_x0000_s438273"/>
                </a:ext>
                <a:ext uri="{FF2B5EF4-FFF2-40B4-BE49-F238E27FC236}">
                  <a16:creationId xmlns:a16="http://schemas.microsoft.com/office/drawing/2014/main" id="{00000000-0008-0000-1000-000001B00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Paid in Full</a:t>
              </a:r>
            </a:p>
          </xdr:txBody>
        </xdr:sp>
        <xdr:clientData fPrintsWithSheet="0"/>
      </xdr:twoCellAnchor>
    </mc:Choice>
    <mc:Fallback/>
  </mc:AlternateContent>
  <xdr:twoCellAnchor>
    <xdr:from>
      <xdr:col>3</xdr:col>
      <xdr:colOff>206152</xdr:colOff>
      <xdr:row>61</xdr:row>
      <xdr:rowOff>29424</xdr:rowOff>
    </xdr:from>
    <xdr:to>
      <xdr:col>6</xdr:col>
      <xdr:colOff>200540</xdr:colOff>
      <xdr:row>62</xdr:row>
      <xdr:rowOff>31805</xdr:rowOff>
    </xdr:to>
    <xdr:sp macro="" textlink="AccountNumber">
      <xdr:nvSpPr>
        <xdr:cNvPr id="2" name="Textbox_AccountNumber1">
          <a:extLst>
            <a:ext uri="{FF2B5EF4-FFF2-40B4-BE49-F238E27FC236}">
              <a16:creationId xmlns:a16="http://schemas.microsoft.com/office/drawing/2014/main" id="{00000000-0008-0000-1000-000002000000}"/>
            </a:ext>
          </a:extLst>
        </xdr:cNvPr>
        <xdr:cNvSpPr txBox="1"/>
      </xdr:nvSpPr>
      <xdr:spPr>
        <a:xfrm>
          <a:off x="796702" y="8649549"/>
          <a:ext cx="104213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0</xdr:col>
      <xdr:colOff>0</xdr:colOff>
      <xdr:row>60</xdr:row>
      <xdr:rowOff>2955</xdr:rowOff>
    </xdr:from>
    <xdr:to>
      <xdr:col>15</xdr:col>
      <xdr:colOff>7620</xdr:colOff>
      <xdr:row>63</xdr:row>
      <xdr:rowOff>131444</xdr:rowOff>
    </xdr:to>
    <xdr:sp macro="" textlink="">
      <xdr:nvSpPr>
        <xdr:cNvPr id="11" name="Textbox_BankInfo1En">
          <a:extLst>
            <a:ext uri="{FF2B5EF4-FFF2-40B4-BE49-F238E27FC236}">
              <a16:creationId xmlns:a16="http://schemas.microsoft.com/office/drawing/2014/main" id="{00000000-0008-0000-1000-00000B000000}"/>
            </a:ext>
          </a:extLst>
        </xdr:cNvPr>
        <xdr:cNvSpPr txBox="1"/>
      </xdr:nvSpPr>
      <xdr:spPr>
        <a:xfrm>
          <a:off x="0" y="8423055"/>
          <a:ext cx="5551170"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TD Canada Trust, </a:t>
          </a:r>
          <a:r>
            <a:rPr lang="en-US" sz="850" b="0" i="0" baseline="0">
              <a:solidFill>
                <a:schemeClr val="dk1"/>
              </a:solidFill>
              <a:effectLst/>
              <a:latin typeface="+mn-lt"/>
              <a:ea typeface="+mn-ea"/>
              <a:cs typeface="+mn-cs"/>
            </a:rPr>
            <a:t>3400 Chemin Quatre-Bourgeois, Quebec, QC, G1W 2L3, CANADA</a:t>
          </a:r>
          <a:r>
            <a:rPr kumimoji="0" lang="en-US" sz="850" b="0" i="0" u="none" strike="noStrike" kern="0" cap="none" spc="0" normalizeH="0" baseline="0" noProof="0">
              <a:ln>
                <a:noFill/>
              </a:ln>
              <a:solidFill>
                <a:prstClr val="black"/>
              </a:solidFill>
              <a:effectLst/>
              <a:uLnTx/>
              <a:uFillTx/>
              <a:latin typeface="+mn-lt"/>
              <a:ea typeface="+mn-ea"/>
              <a:cs typeface="+mn-cs"/>
            </a:rPr>
            <a:t>
</a:t>
          </a: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kumimoji="0" lang="en-US"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0" u="none" strike="noStrike" kern="0" cap="none" spc="0" normalizeH="0" baseline="0" noProof="0">
              <a:ln>
                <a:noFill/>
              </a:ln>
              <a:solidFill>
                <a:prstClr val="black"/>
              </a:solidFill>
              <a:effectLst/>
              <a:uLnTx/>
              <a:uFillTx/>
              <a:latin typeface="+mn-lt"/>
              <a:ea typeface="+mn-ea"/>
              <a:cs typeface="+mn-cs"/>
            </a:rPr>
            <a:t>    004              </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Financial               Transit    Account</a:t>
          </a:r>
        </a:p>
        <a:p>
          <a:pPr marL="0" marR="0" lvl="0" indent="0" defTabSz="914400" eaLnBrk="1" fontAlgn="auto" latinLnBrk="0" hangingPunct="1">
            <a:lnSpc>
              <a:spcPts val="900"/>
            </a:lnSpc>
            <a:spcBef>
              <a:spcPts val="0"/>
            </a:spcBef>
            <a:spcAft>
              <a:spcPts val="0"/>
            </a:spcAft>
            <a:buClrTx/>
            <a:buSzTx/>
            <a:buFontTx/>
            <a:buNone/>
            <a:tabLst/>
            <a:defRPr/>
          </a:pPr>
          <a:r>
            <a:rPr kumimoji="0" lang="en-US" sz="850" b="0" i="1" u="none" strike="noStrike" kern="0" cap="none" spc="0" normalizeH="0" baseline="0" noProof="0">
              <a:ln>
                <a:noFill/>
              </a:ln>
              <a:solidFill>
                <a:prstClr val="black"/>
              </a:solidFill>
              <a:effectLst/>
              <a:uLnTx/>
              <a:uFillTx/>
              <a:latin typeface="+mn-lt"/>
              <a:ea typeface="+mn-ea"/>
              <a:cs typeface="+mn-cs"/>
            </a:rPr>
            <a:t>institution            (branch)</a:t>
          </a:r>
        </a:p>
      </xdr:txBody>
    </xdr:sp>
    <xdr:clientData/>
  </xdr:twoCellAnchor>
  <xdr:twoCellAnchor>
    <xdr:from>
      <xdr:col>0</xdr:col>
      <xdr:colOff>0</xdr:colOff>
      <xdr:row>60</xdr:row>
      <xdr:rowOff>0</xdr:rowOff>
    </xdr:from>
    <xdr:to>
      <xdr:col>15</xdr:col>
      <xdr:colOff>12016</xdr:colOff>
      <xdr:row>63</xdr:row>
      <xdr:rowOff>81700</xdr:rowOff>
    </xdr:to>
    <xdr:sp macro="" textlink="">
      <xdr:nvSpPr>
        <xdr:cNvPr id="12" name="Textbox_BankInfo1Fr" hidden="1">
          <a:extLst>
            <a:ext uri="{FF2B5EF4-FFF2-40B4-BE49-F238E27FC236}">
              <a16:creationId xmlns:a16="http://schemas.microsoft.com/office/drawing/2014/main" id="{00000000-0008-0000-1000-00000C000000}"/>
            </a:ext>
          </a:extLst>
        </xdr:cNvPr>
        <xdr:cNvSpPr txBox="1"/>
      </xdr:nvSpPr>
      <xdr:spPr>
        <a:xfrm>
          <a:off x="0"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xdr:txBody>
    </xdr:sp>
    <xdr:clientData/>
  </xdr:twoCellAnchor>
  <xdr:twoCellAnchor>
    <xdr:from>
      <xdr:col>22</xdr:col>
      <xdr:colOff>205132</xdr:colOff>
      <xdr:row>61</xdr:row>
      <xdr:rowOff>29424</xdr:rowOff>
    </xdr:from>
    <xdr:to>
      <xdr:col>25</xdr:col>
      <xdr:colOff>195607</xdr:colOff>
      <xdr:row>62</xdr:row>
      <xdr:rowOff>29424</xdr:rowOff>
    </xdr:to>
    <xdr:sp macro="" textlink="AccountNumber">
      <xdr:nvSpPr>
        <xdr:cNvPr id="13" name="Textbox_AccountNumber2">
          <a:extLst>
            <a:ext uri="{FF2B5EF4-FFF2-40B4-BE49-F238E27FC236}">
              <a16:creationId xmlns:a16="http://schemas.microsoft.com/office/drawing/2014/main" id="{00000000-0008-0000-1000-00000D000000}"/>
            </a:ext>
          </a:extLst>
        </xdr:cNvPr>
        <xdr:cNvSpPr txBox="1"/>
      </xdr:nvSpPr>
      <xdr:spPr>
        <a:xfrm>
          <a:off x="8091832" y="8649549"/>
          <a:ext cx="10382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a:lnSpc>
              <a:spcPts val="900"/>
            </a:lnSpc>
          </a:pPr>
          <a:fld id="{05221814-F8BD-4505-BFC9-753E7BC4DF38}" type="TxLink">
            <a:rPr lang="en-US" sz="850" b="0" i="0" u="none" strike="noStrike">
              <a:solidFill>
                <a:srgbClr val="000000"/>
              </a:solidFill>
              <a:latin typeface="Calibri"/>
              <a:cs typeface="Calibri"/>
            </a:rPr>
            <a:pPr>
              <a:lnSpc>
                <a:spcPts val="900"/>
              </a:lnSpc>
            </a:pPr>
            <a:t>49025-5204770</a:t>
          </a:fld>
          <a:endParaRPr lang="en-US" sz="850"/>
        </a:p>
      </xdr:txBody>
    </xdr:sp>
    <xdr:clientData/>
  </xdr:twoCellAnchor>
  <xdr:twoCellAnchor>
    <xdr:from>
      <xdr:col>18</xdr:col>
      <xdr:colOff>55126</xdr:colOff>
      <xdr:row>60</xdr:row>
      <xdr:rowOff>2955</xdr:rowOff>
    </xdr:from>
    <xdr:to>
      <xdr:col>34</xdr:col>
      <xdr:colOff>7270</xdr:colOff>
      <xdr:row>63</xdr:row>
      <xdr:rowOff>131444</xdr:rowOff>
    </xdr:to>
    <xdr:sp macro="" textlink="">
      <xdr:nvSpPr>
        <xdr:cNvPr id="14" name="Textbox_BankInfo2En">
          <a:extLst>
            <a:ext uri="{FF2B5EF4-FFF2-40B4-BE49-F238E27FC236}">
              <a16:creationId xmlns:a16="http://schemas.microsoft.com/office/drawing/2014/main" id="{00000000-0008-0000-1000-00000E000000}"/>
            </a:ext>
          </a:extLst>
        </xdr:cNvPr>
        <xdr:cNvSpPr txBox="1"/>
      </xdr:nvSpPr>
      <xdr:spPr>
        <a:xfrm>
          <a:off x="7294126" y="8423055"/>
          <a:ext cx="5552844" cy="72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Swift code:</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Beneficiary:</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Financial               Transit    Account</a:t>
          </a:r>
          <a:endParaRPr lang="en-CA" sz="850">
            <a:effectLst/>
          </a:endParaRPr>
        </a:p>
        <a:p>
          <a:pPr>
            <a:lnSpc>
              <a:spcPts val="900"/>
            </a:lnSpc>
          </a:pPr>
          <a:r>
            <a:rPr lang="en-US" sz="850" b="0" i="1" baseline="0">
              <a:solidFill>
                <a:schemeClr val="dk1"/>
              </a:solidFill>
              <a:effectLst/>
              <a:latin typeface="+mn-lt"/>
              <a:ea typeface="+mn-ea"/>
              <a:cs typeface="+mn-cs"/>
            </a:rPr>
            <a:t>institution            (branch)</a:t>
          </a:r>
          <a:endParaRPr lang="en-US" sz="850"/>
        </a:p>
      </xdr:txBody>
    </xdr:sp>
    <xdr:clientData/>
  </xdr:twoCellAnchor>
  <xdr:twoCellAnchor>
    <xdr:from>
      <xdr:col>19</xdr:col>
      <xdr:colOff>697</xdr:colOff>
      <xdr:row>60</xdr:row>
      <xdr:rowOff>0</xdr:rowOff>
    </xdr:from>
    <xdr:to>
      <xdr:col>34</xdr:col>
      <xdr:colOff>12713</xdr:colOff>
      <xdr:row>63</xdr:row>
      <xdr:rowOff>81700</xdr:rowOff>
    </xdr:to>
    <xdr:sp macro="" textlink="">
      <xdr:nvSpPr>
        <xdr:cNvPr id="15" name="Textbox_BankInfo2Fr" hidden="1">
          <a:extLst>
            <a:ext uri="{FF2B5EF4-FFF2-40B4-BE49-F238E27FC236}">
              <a16:creationId xmlns:a16="http://schemas.microsoft.com/office/drawing/2014/main" id="{00000000-0008-0000-1000-00000F000000}"/>
            </a:ext>
          </a:extLst>
        </xdr:cNvPr>
        <xdr:cNvSpPr txBox="1"/>
      </xdr:nvSpPr>
      <xdr:spPr>
        <a:xfrm>
          <a:off x="7296847" y="8420100"/>
          <a:ext cx="5555566" cy="68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pPr eaLnBrk="1" fontAlgn="auto" latinLnBrk="0" hangingPunct="1">
            <a:lnSpc>
              <a:spcPts val="900"/>
            </a:lnSpc>
          </a:pPr>
          <a:r>
            <a:rPr lang="en-US" sz="850" b="0" i="0" baseline="0">
              <a:solidFill>
                <a:schemeClr val="dk1"/>
              </a:solidFill>
              <a:effectLst/>
              <a:latin typeface="+mn-lt"/>
              <a:ea typeface="+mn-ea"/>
              <a:cs typeface="+mn-cs"/>
            </a:rPr>
            <a:t>TD Canada Trust, 3400 Chemin Quatre-Bourgeois, Quebec, QC, G1W 2L3, CANADA</a:t>
          </a:r>
          <a:br>
            <a:rPr lang="en-US" sz="850" b="0" i="0" baseline="0">
              <a:solidFill>
                <a:schemeClr val="dk1"/>
              </a:solidFill>
              <a:effectLst/>
              <a:latin typeface="+mn-lt"/>
              <a:ea typeface="+mn-ea"/>
              <a:cs typeface="+mn-cs"/>
            </a:rPr>
          </a:br>
          <a:r>
            <a:rPr lang="en-US" sz="850" b="0" i="1" baseline="0">
              <a:solidFill>
                <a:schemeClr val="dk1"/>
              </a:solidFill>
              <a:effectLst/>
              <a:latin typeface="+mn-lt"/>
              <a:ea typeface="+mn-ea"/>
              <a:cs typeface="+mn-cs"/>
            </a:rPr>
            <a:t>Code Swift:</a:t>
          </a:r>
          <a:r>
            <a:rPr lang="en-US" sz="850" b="0" i="0" baseline="0">
              <a:solidFill>
                <a:schemeClr val="dk1"/>
              </a:solidFill>
              <a:effectLst/>
              <a:latin typeface="+mn-lt"/>
              <a:ea typeface="+mn-ea"/>
              <a:cs typeface="+mn-cs"/>
            </a:rPr>
            <a:t> TDOMCATTTOR           </a:t>
          </a:r>
          <a:r>
            <a:rPr lang="en-US" sz="850" b="0" i="1" baseline="0">
              <a:solidFill>
                <a:schemeClr val="dk1"/>
              </a:solidFill>
              <a:effectLst/>
              <a:latin typeface="+mn-lt"/>
              <a:ea typeface="+mn-ea"/>
              <a:cs typeface="+mn-cs"/>
            </a:rPr>
            <a:t>Bénéficiaire:</a:t>
          </a:r>
          <a:r>
            <a:rPr lang="en-US" sz="850" b="0" i="0" baseline="0">
              <a:solidFill>
                <a:schemeClr val="dk1"/>
              </a:solidFill>
              <a:effectLst/>
              <a:latin typeface="+mn-lt"/>
              <a:ea typeface="+mn-ea"/>
              <a:cs typeface="+mn-cs"/>
            </a:rPr>
            <a:t> Regent Instruments Inc.</a:t>
          </a:r>
          <a:endParaRPr lang="en-CA" sz="850">
            <a:effectLst/>
          </a:endParaRPr>
        </a:p>
        <a:p>
          <a:pPr eaLnBrk="1" fontAlgn="auto" latinLnBrk="0" hangingPunct="1">
            <a:lnSpc>
              <a:spcPts val="900"/>
            </a:lnSpc>
          </a:pPr>
          <a:r>
            <a:rPr lang="en-US" sz="850" b="0" i="0" baseline="0">
              <a:solidFill>
                <a:schemeClr val="dk1"/>
              </a:solidFill>
              <a:effectLst/>
              <a:latin typeface="+mn-lt"/>
              <a:ea typeface="+mn-ea"/>
              <a:cs typeface="+mn-cs"/>
            </a:rPr>
            <a:t>    004              </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Institution             Transit    Compte</a:t>
          </a:r>
          <a:endParaRPr lang="en-CA" sz="850">
            <a:effectLst/>
          </a:endParaRPr>
        </a:p>
        <a:p>
          <a:pPr eaLnBrk="1" fontAlgn="auto" latinLnBrk="0" hangingPunct="1">
            <a:lnSpc>
              <a:spcPts val="900"/>
            </a:lnSpc>
          </a:pPr>
          <a:r>
            <a:rPr lang="en-US" sz="850" b="0" i="1" baseline="0">
              <a:solidFill>
                <a:schemeClr val="dk1"/>
              </a:solidFill>
              <a:effectLst/>
              <a:latin typeface="+mn-lt"/>
              <a:ea typeface="+mn-ea"/>
              <a:cs typeface="+mn-cs"/>
            </a:rPr>
            <a:t>financière         (succursale)</a:t>
          </a:r>
          <a:endParaRPr lang="en-CA" sz="850">
            <a:effectLst/>
          </a:endParaRPr>
        </a:p>
        <a:p>
          <a:pPr>
            <a:lnSpc>
              <a:spcPts val="900"/>
            </a:lnSpc>
          </a:pPr>
          <a:endParaRPr lang="en-US" sz="85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139700</xdr:colOff>
          <xdr:row>2</xdr:row>
          <xdr:rowOff>190500</xdr:rowOff>
        </xdr:from>
        <xdr:to>
          <xdr:col>4</xdr:col>
          <xdr:colOff>25400</xdr:colOff>
          <xdr:row>3</xdr:row>
          <xdr:rowOff>190500</xdr:rowOff>
        </xdr:to>
        <xdr:sp macro="" textlink="">
          <xdr:nvSpPr>
            <xdr:cNvPr id="115247" name="BtnProdReset" hidden="1">
              <a:extLst>
                <a:ext uri="{63B3BB69-23CF-44E3-9099-C40C66FF867C}">
                  <a14:compatExt spid="_x0000_s115247"/>
                </a:ext>
                <a:ext uri="{FF2B5EF4-FFF2-40B4-BE49-F238E27FC236}">
                  <a16:creationId xmlns:a16="http://schemas.microsoft.com/office/drawing/2014/main" id="{00000000-0008-0000-1100-00002F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Clear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177800</xdr:colOff>
          <xdr:row>2</xdr:row>
          <xdr:rowOff>190500</xdr:rowOff>
        </xdr:from>
        <xdr:to>
          <xdr:col>5</xdr:col>
          <xdr:colOff>0</xdr:colOff>
          <xdr:row>3</xdr:row>
          <xdr:rowOff>190500</xdr:rowOff>
        </xdr:to>
        <xdr:sp macro="" textlink="">
          <xdr:nvSpPr>
            <xdr:cNvPr id="115248" name="BtnProdProd" hidden="1">
              <a:extLst>
                <a:ext uri="{63B3BB69-23CF-44E3-9099-C40C66FF867C}">
                  <a14:compatExt spid="_x0000_s115248"/>
                </a:ext>
                <a:ext uri="{FF2B5EF4-FFF2-40B4-BE49-F238E27FC236}">
                  <a16:creationId xmlns:a16="http://schemas.microsoft.com/office/drawing/2014/main" id="{00000000-0008-0000-1100-000030C2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Début Prod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xdr:row>
          <xdr:rowOff>25400</xdr:rowOff>
        </xdr:from>
        <xdr:to>
          <xdr:col>12</xdr:col>
          <xdr:colOff>609600</xdr:colOff>
          <xdr:row>5</xdr:row>
          <xdr:rowOff>177800</xdr:rowOff>
        </xdr:to>
        <xdr:sp macro="" textlink="">
          <xdr:nvSpPr>
            <xdr:cNvPr id="142927" name="Option Button 7" hidden="1">
              <a:extLst>
                <a:ext uri="{63B3BB69-23CF-44E3-9099-C40C66FF867C}">
                  <a14:compatExt spid="_x0000_s142927"/>
                </a:ext>
                <a:ext uri="{FF2B5EF4-FFF2-40B4-BE49-F238E27FC236}">
                  <a16:creationId xmlns:a16="http://schemas.microsoft.com/office/drawing/2014/main" id="{00000000-0008-0000-1100-00004F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635000</xdr:colOff>
          <xdr:row>5</xdr:row>
          <xdr:rowOff>25400</xdr:rowOff>
        </xdr:from>
        <xdr:to>
          <xdr:col>13</xdr:col>
          <xdr:colOff>292100</xdr:colOff>
          <xdr:row>5</xdr:row>
          <xdr:rowOff>177800</xdr:rowOff>
        </xdr:to>
        <xdr:sp macro="" textlink="">
          <xdr:nvSpPr>
            <xdr:cNvPr id="142928" name="Option Button 8" hidden="1">
              <a:extLst>
                <a:ext uri="{63B3BB69-23CF-44E3-9099-C40C66FF867C}">
                  <a14:compatExt spid="_x0000_s142928"/>
                </a:ext>
                <a:ext uri="{FF2B5EF4-FFF2-40B4-BE49-F238E27FC236}">
                  <a16:creationId xmlns:a16="http://schemas.microsoft.com/office/drawing/2014/main" id="{00000000-0008-0000-1100-0000502E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Non</a:t>
              </a:r>
            </a:p>
          </xdr:txBody>
        </xdr:sp>
        <xdr:clientData/>
      </xdr:twoCellAnchor>
    </mc:Choice>
    <mc:Fallback/>
  </mc:AlternateContent>
  <xdr:twoCellAnchor>
    <xdr:from>
      <xdr:col>3</xdr:col>
      <xdr:colOff>668656</xdr:colOff>
      <xdr:row>277</xdr:row>
      <xdr:rowOff>34011</xdr:rowOff>
    </xdr:from>
    <xdr:to>
      <xdr:col>3</xdr:col>
      <xdr:colOff>920116</xdr:colOff>
      <xdr:row>277</xdr:row>
      <xdr:rowOff>199746</xdr:rowOff>
    </xdr:to>
    <xdr:sp macro="" textlink="">
      <xdr:nvSpPr>
        <xdr:cNvPr id="304" name="TextBox 303">
          <a:extLst>
            <a:ext uri="{FF2B5EF4-FFF2-40B4-BE49-F238E27FC236}">
              <a16:creationId xmlns:a16="http://schemas.microsoft.com/office/drawing/2014/main" id="{00000000-0008-0000-1100-000030010000}"/>
            </a:ext>
          </a:extLst>
        </xdr:cNvPr>
        <xdr:cNvSpPr txBox="1"/>
      </xdr:nvSpPr>
      <xdr:spPr>
        <a:xfrm>
          <a:off x="2449831" y="899404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270</xdr:row>
      <xdr:rowOff>34011</xdr:rowOff>
    </xdr:from>
    <xdr:to>
      <xdr:col>3</xdr:col>
      <xdr:colOff>920116</xdr:colOff>
      <xdr:row>270</xdr:row>
      <xdr:rowOff>209271</xdr:rowOff>
    </xdr:to>
    <xdr:sp macro="" textlink="">
      <xdr:nvSpPr>
        <xdr:cNvPr id="305" name="TextBox 304">
          <a:extLst>
            <a:ext uri="{FF2B5EF4-FFF2-40B4-BE49-F238E27FC236}">
              <a16:creationId xmlns:a16="http://schemas.microsoft.com/office/drawing/2014/main" id="{00000000-0008-0000-1100-000031010000}"/>
            </a:ext>
          </a:extLst>
        </xdr:cNvPr>
        <xdr:cNvSpPr txBox="1"/>
      </xdr:nvSpPr>
      <xdr:spPr>
        <a:xfrm>
          <a:off x="2449831" y="850446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305</xdr:row>
      <xdr:rowOff>34011</xdr:rowOff>
    </xdr:from>
    <xdr:to>
      <xdr:col>3</xdr:col>
      <xdr:colOff>920116</xdr:colOff>
      <xdr:row>305</xdr:row>
      <xdr:rowOff>209271</xdr:rowOff>
    </xdr:to>
    <xdr:sp macro="" textlink="">
      <xdr:nvSpPr>
        <xdr:cNvPr id="310" name="TextBox 309">
          <a:extLst>
            <a:ext uri="{FF2B5EF4-FFF2-40B4-BE49-F238E27FC236}">
              <a16:creationId xmlns:a16="http://schemas.microsoft.com/office/drawing/2014/main" id="{00000000-0008-0000-1100-000036010000}"/>
            </a:ext>
          </a:extLst>
        </xdr:cNvPr>
        <xdr:cNvSpPr txBox="1"/>
      </xdr:nvSpPr>
      <xdr:spPr>
        <a:xfrm>
          <a:off x="2449831" y="950458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309</xdr:row>
      <xdr:rowOff>34011</xdr:rowOff>
    </xdr:from>
    <xdr:to>
      <xdr:col>3</xdr:col>
      <xdr:colOff>920116</xdr:colOff>
      <xdr:row>309</xdr:row>
      <xdr:rowOff>209271</xdr:rowOff>
    </xdr:to>
    <xdr:sp macro="" textlink="">
      <xdr:nvSpPr>
        <xdr:cNvPr id="313" name="TextBox 312">
          <a:extLst>
            <a:ext uri="{FF2B5EF4-FFF2-40B4-BE49-F238E27FC236}">
              <a16:creationId xmlns:a16="http://schemas.microsoft.com/office/drawing/2014/main" id="{00000000-0008-0000-1100-000039010000}"/>
            </a:ext>
          </a:extLst>
        </xdr:cNvPr>
        <xdr:cNvSpPr txBox="1"/>
      </xdr:nvSpPr>
      <xdr:spPr>
        <a:xfrm>
          <a:off x="2449831" y="9589361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284</xdr:row>
      <xdr:rowOff>34011</xdr:rowOff>
    </xdr:from>
    <xdr:to>
      <xdr:col>3</xdr:col>
      <xdr:colOff>920116</xdr:colOff>
      <xdr:row>284</xdr:row>
      <xdr:rowOff>199746</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291</xdr:row>
      <xdr:rowOff>34011</xdr:rowOff>
    </xdr:from>
    <xdr:to>
      <xdr:col>3</xdr:col>
      <xdr:colOff>920116</xdr:colOff>
      <xdr:row>291</xdr:row>
      <xdr:rowOff>199746</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298</xdr:row>
      <xdr:rowOff>34011</xdr:rowOff>
    </xdr:from>
    <xdr:to>
      <xdr:col>3</xdr:col>
      <xdr:colOff>920116</xdr:colOff>
      <xdr:row>298</xdr:row>
      <xdr:rowOff>199746</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2449831" y="923788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313</xdr:row>
      <xdr:rowOff>34011</xdr:rowOff>
    </xdr:from>
    <xdr:to>
      <xdr:col>3</xdr:col>
      <xdr:colOff>920116</xdr:colOff>
      <xdr:row>313</xdr:row>
      <xdr:rowOff>209271</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317</xdr:row>
      <xdr:rowOff>34011</xdr:rowOff>
    </xdr:from>
    <xdr:to>
      <xdr:col>3</xdr:col>
      <xdr:colOff>920116</xdr:colOff>
      <xdr:row>317</xdr:row>
      <xdr:rowOff>209271</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321</xdr:row>
      <xdr:rowOff>34011</xdr:rowOff>
    </xdr:from>
    <xdr:to>
      <xdr:col>3</xdr:col>
      <xdr:colOff>920116</xdr:colOff>
      <xdr:row>321</xdr:row>
      <xdr:rowOff>209271</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2449831" y="1127623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254</xdr:row>
      <xdr:rowOff>34011</xdr:rowOff>
    </xdr:from>
    <xdr:to>
      <xdr:col>3</xdr:col>
      <xdr:colOff>920116</xdr:colOff>
      <xdr:row>254</xdr:row>
      <xdr:rowOff>209271</xdr:rowOff>
    </xdr:to>
    <xdr:sp macro="" textlink="">
      <xdr:nvSpPr>
        <xdr:cNvPr id="306" name="TextBox 305">
          <a:extLst>
            <a:ext uri="{FF2B5EF4-FFF2-40B4-BE49-F238E27FC236}">
              <a16:creationId xmlns:a16="http://schemas.microsoft.com/office/drawing/2014/main" id="{00000000-0008-0000-1100-000032010000}"/>
            </a:ext>
          </a:extLst>
        </xdr:cNvPr>
        <xdr:cNvSpPr txBox="1"/>
      </xdr:nvSpPr>
      <xdr:spPr>
        <a:xfrm>
          <a:off x="2449831" y="839587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250</xdr:row>
      <xdr:rowOff>34011</xdr:rowOff>
    </xdr:from>
    <xdr:to>
      <xdr:col>3</xdr:col>
      <xdr:colOff>920116</xdr:colOff>
      <xdr:row>250</xdr:row>
      <xdr:rowOff>209271</xdr:rowOff>
    </xdr:to>
    <xdr:sp macro="" textlink="">
      <xdr:nvSpPr>
        <xdr:cNvPr id="307" name="TextBox 306">
          <a:extLst>
            <a:ext uri="{FF2B5EF4-FFF2-40B4-BE49-F238E27FC236}">
              <a16:creationId xmlns:a16="http://schemas.microsoft.com/office/drawing/2014/main" id="{00000000-0008-0000-1100-000033010000}"/>
            </a:ext>
          </a:extLst>
        </xdr:cNvPr>
        <xdr:cNvSpPr txBox="1"/>
      </xdr:nvSpPr>
      <xdr:spPr>
        <a:xfrm>
          <a:off x="2449831" y="831110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258</xdr:row>
      <xdr:rowOff>34011</xdr:rowOff>
    </xdr:from>
    <xdr:to>
      <xdr:col>3</xdr:col>
      <xdr:colOff>920116</xdr:colOff>
      <xdr:row>258</xdr:row>
      <xdr:rowOff>209271</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262</xdr:row>
      <xdr:rowOff>34011</xdr:rowOff>
    </xdr:from>
    <xdr:to>
      <xdr:col>3</xdr:col>
      <xdr:colOff>920116</xdr:colOff>
      <xdr:row>262</xdr:row>
      <xdr:rowOff>209271</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266</xdr:row>
      <xdr:rowOff>34011</xdr:rowOff>
    </xdr:from>
    <xdr:to>
      <xdr:col>3</xdr:col>
      <xdr:colOff>920116</xdr:colOff>
      <xdr:row>266</xdr:row>
      <xdr:rowOff>209271</xdr:rowOff>
    </xdr:to>
    <xdr:sp macro="" textlink="">
      <xdr:nvSpPr>
        <xdr:cNvPr id="7" name="Serial Number Textbox">
          <a:extLst>
            <a:ext uri="{FF2B5EF4-FFF2-40B4-BE49-F238E27FC236}">
              <a16:creationId xmlns:a16="http://schemas.microsoft.com/office/drawing/2014/main" id="{00000000-0008-0000-1100-000007000000}"/>
            </a:ext>
          </a:extLst>
        </xdr:cNvPr>
        <xdr:cNvSpPr txBox="1"/>
      </xdr:nvSpPr>
      <xdr:spPr>
        <a:xfrm>
          <a:off x="2449831" y="836539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48</xdr:col>
          <xdr:colOff>76200</xdr:colOff>
          <xdr:row>1</xdr:row>
          <xdr:rowOff>88900</xdr:rowOff>
        </xdr:from>
        <xdr:to>
          <xdr:col>50</xdr:col>
          <xdr:colOff>12700</xdr:colOff>
          <xdr:row>3</xdr:row>
          <xdr:rowOff>152400</xdr:rowOff>
        </xdr:to>
        <xdr:sp macro="" textlink="">
          <xdr:nvSpPr>
            <xdr:cNvPr id="143232" name="SHOWPROD" hidden="1">
              <a:extLst>
                <a:ext uri="{63B3BB69-23CF-44E3-9099-C40C66FF867C}">
                  <a14:compatExt spid="_x0000_s143232"/>
                </a:ext>
                <a:ext uri="{FF2B5EF4-FFF2-40B4-BE49-F238E27FC236}">
                  <a16:creationId xmlns:a16="http://schemas.microsoft.com/office/drawing/2014/main" id="{00000000-0008-0000-1100-0000802F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Show Prod</a:t>
              </a:r>
            </a:p>
          </xdr:txBody>
        </xdr:sp>
        <xdr:clientData fPrintsWithSheet="0"/>
      </xdr:twoCellAnchor>
    </mc:Choice>
    <mc:Fallback/>
  </mc:AlternateContent>
  <xdr:twoCellAnchor>
    <xdr:from>
      <xdr:col>3</xdr:col>
      <xdr:colOff>668656</xdr:colOff>
      <xdr:row>360</xdr:row>
      <xdr:rowOff>34011</xdr:rowOff>
    </xdr:from>
    <xdr:to>
      <xdr:col>3</xdr:col>
      <xdr:colOff>920116</xdr:colOff>
      <xdr:row>360</xdr:row>
      <xdr:rowOff>209271</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2449831" y="1007513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364</xdr:row>
      <xdr:rowOff>34011</xdr:rowOff>
    </xdr:from>
    <xdr:to>
      <xdr:col>3</xdr:col>
      <xdr:colOff>920116</xdr:colOff>
      <xdr:row>364</xdr:row>
      <xdr:rowOff>209271</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368</xdr:row>
      <xdr:rowOff>34011</xdr:rowOff>
    </xdr:from>
    <xdr:to>
      <xdr:col>3</xdr:col>
      <xdr:colOff>920116</xdr:colOff>
      <xdr:row>368</xdr:row>
      <xdr:rowOff>209271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372</xdr:row>
      <xdr:rowOff>34011</xdr:rowOff>
    </xdr:from>
    <xdr:to>
      <xdr:col>3</xdr:col>
      <xdr:colOff>920116</xdr:colOff>
      <xdr:row>372</xdr:row>
      <xdr:rowOff>209271</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376</xdr:row>
      <xdr:rowOff>34011</xdr:rowOff>
    </xdr:from>
    <xdr:to>
      <xdr:col>3</xdr:col>
      <xdr:colOff>920116</xdr:colOff>
      <xdr:row>376</xdr:row>
      <xdr:rowOff>209271</xdr:rowOff>
    </xdr:to>
    <xdr:sp macro="" textlink="">
      <xdr:nvSpPr>
        <xdr:cNvPr id="15" name="TextBox 14">
          <a:extLst>
            <a:ext uri="{FF2B5EF4-FFF2-40B4-BE49-F238E27FC236}">
              <a16:creationId xmlns:a16="http://schemas.microsoft.com/office/drawing/2014/main" id="{00000000-0008-0000-1100-00000F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380</xdr:row>
      <xdr:rowOff>34011</xdr:rowOff>
    </xdr:from>
    <xdr:to>
      <xdr:col>3</xdr:col>
      <xdr:colOff>920116</xdr:colOff>
      <xdr:row>380</xdr:row>
      <xdr:rowOff>209271</xdr:rowOff>
    </xdr:to>
    <xdr:sp macro="" textlink="">
      <xdr:nvSpPr>
        <xdr:cNvPr id="21" name="TextBox 20">
          <a:extLst>
            <a:ext uri="{FF2B5EF4-FFF2-40B4-BE49-F238E27FC236}">
              <a16:creationId xmlns:a16="http://schemas.microsoft.com/office/drawing/2014/main" id="{00000000-0008-0000-1100-000015000000}"/>
            </a:ext>
          </a:extLst>
        </xdr:cNvPr>
        <xdr:cNvSpPr txBox="1"/>
      </xdr:nvSpPr>
      <xdr:spPr>
        <a:xfrm>
          <a:off x="2449831" y="118753611"/>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384</xdr:row>
      <xdr:rowOff>34011</xdr:rowOff>
    </xdr:from>
    <xdr:to>
      <xdr:col>3</xdr:col>
      <xdr:colOff>920116</xdr:colOff>
      <xdr:row>384</xdr:row>
      <xdr:rowOff>209271</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23" name="TextBox 22">
          <a:extLst>
            <a:ext uri="{FF2B5EF4-FFF2-40B4-BE49-F238E27FC236}">
              <a16:creationId xmlns:a16="http://schemas.microsoft.com/office/drawing/2014/main" id="{00000000-0008-0000-1100-000017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24" name="TextBox 23">
          <a:extLst>
            <a:ext uri="{FF2B5EF4-FFF2-40B4-BE49-F238E27FC236}">
              <a16:creationId xmlns:a16="http://schemas.microsoft.com/office/drawing/2014/main" id="{00000000-0008-0000-1100-000018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25" name="TextBox 24">
          <a:extLst>
            <a:ext uri="{FF2B5EF4-FFF2-40B4-BE49-F238E27FC236}">
              <a16:creationId xmlns:a16="http://schemas.microsoft.com/office/drawing/2014/main" id="{00000000-0008-0000-1100-000019000000}"/>
            </a:ext>
          </a:extLst>
        </xdr:cNvPr>
        <xdr:cNvSpPr txBox="1"/>
      </xdr:nvSpPr>
      <xdr:spPr>
        <a:xfrm>
          <a:off x="2449831" y="123001761"/>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325</xdr:row>
      <xdr:rowOff>34011</xdr:rowOff>
    </xdr:from>
    <xdr:to>
      <xdr:col>3</xdr:col>
      <xdr:colOff>920116</xdr:colOff>
      <xdr:row>325</xdr:row>
      <xdr:rowOff>209271</xdr:rowOff>
    </xdr:to>
    <xdr:sp macro="" textlink="">
      <xdr:nvSpPr>
        <xdr:cNvPr id="26" name="TextBox 25">
          <a:extLst>
            <a:ext uri="{FF2B5EF4-FFF2-40B4-BE49-F238E27FC236}">
              <a16:creationId xmlns:a16="http://schemas.microsoft.com/office/drawing/2014/main" id="{00000000-0008-0000-1100-00001A000000}"/>
            </a:ext>
          </a:extLst>
        </xdr:cNvPr>
        <xdr:cNvSpPr txBox="1"/>
      </xdr:nvSpPr>
      <xdr:spPr>
        <a:xfrm>
          <a:off x="2449831" y="8748303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332</xdr:row>
      <xdr:rowOff>34011</xdr:rowOff>
    </xdr:from>
    <xdr:to>
      <xdr:col>3</xdr:col>
      <xdr:colOff>920116</xdr:colOff>
      <xdr:row>332</xdr:row>
      <xdr:rowOff>209271</xdr:rowOff>
    </xdr:to>
    <xdr:sp macro="" textlink="">
      <xdr:nvSpPr>
        <xdr:cNvPr id="27" name="TextBox 26">
          <a:extLst>
            <a:ext uri="{FF2B5EF4-FFF2-40B4-BE49-F238E27FC236}">
              <a16:creationId xmlns:a16="http://schemas.microsoft.com/office/drawing/2014/main" id="{00000000-0008-0000-1100-00001B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339</xdr:row>
      <xdr:rowOff>34011</xdr:rowOff>
    </xdr:from>
    <xdr:to>
      <xdr:col>3</xdr:col>
      <xdr:colOff>920116</xdr:colOff>
      <xdr:row>339</xdr:row>
      <xdr:rowOff>209271</xdr:rowOff>
    </xdr:to>
    <xdr:sp macro="" textlink="">
      <xdr:nvSpPr>
        <xdr:cNvPr id="28" name="TextBox 27">
          <a:extLst>
            <a:ext uri="{FF2B5EF4-FFF2-40B4-BE49-F238E27FC236}">
              <a16:creationId xmlns:a16="http://schemas.microsoft.com/office/drawing/2014/main" id="{00000000-0008-0000-1100-00001C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346</xdr:row>
      <xdr:rowOff>34011</xdr:rowOff>
    </xdr:from>
    <xdr:to>
      <xdr:col>3</xdr:col>
      <xdr:colOff>920116</xdr:colOff>
      <xdr:row>346</xdr:row>
      <xdr:rowOff>209271</xdr:rowOff>
    </xdr:to>
    <xdr:sp macro="" textlink="">
      <xdr:nvSpPr>
        <xdr:cNvPr id="29" name="TextBox 28">
          <a:extLst>
            <a:ext uri="{FF2B5EF4-FFF2-40B4-BE49-F238E27FC236}">
              <a16:creationId xmlns:a16="http://schemas.microsoft.com/office/drawing/2014/main" id="{00000000-0008-0000-1100-00001D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353</xdr:row>
      <xdr:rowOff>34011</xdr:rowOff>
    </xdr:from>
    <xdr:to>
      <xdr:col>3</xdr:col>
      <xdr:colOff>920116</xdr:colOff>
      <xdr:row>353</xdr:row>
      <xdr:rowOff>209271</xdr:rowOff>
    </xdr:to>
    <xdr:sp macro="" textlink="">
      <xdr:nvSpPr>
        <xdr:cNvPr id="30" name="TextBox 29">
          <a:extLst>
            <a:ext uri="{FF2B5EF4-FFF2-40B4-BE49-F238E27FC236}">
              <a16:creationId xmlns:a16="http://schemas.microsoft.com/office/drawing/2014/main" id="{00000000-0008-0000-1100-00001E000000}"/>
            </a:ext>
          </a:extLst>
        </xdr:cNvPr>
        <xdr:cNvSpPr txBox="1"/>
      </xdr:nvSpPr>
      <xdr:spPr>
        <a:xfrm>
          <a:off x="2449831" y="105485286"/>
          <a:ext cx="25146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mc:AlternateContent xmlns:mc="http://schemas.openxmlformats.org/markup-compatibility/2006">
    <mc:Choice xmlns:a14="http://schemas.microsoft.com/office/drawing/2010/main" Requires="a14">
      <xdr:twoCellAnchor>
        <xdr:from>
          <xdr:col>12</xdr:col>
          <xdr:colOff>25400</xdr:colOff>
          <xdr:row>5</xdr:row>
          <xdr:rowOff>25400</xdr:rowOff>
        </xdr:from>
        <xdr:to>
          <xdr:col>13</xdr:col>
          <xdr:colOff>698500</xdr:colOff>
          <xdr:row>6</xdr:row>
          <xdr:rowOff>25400</xdr:rowOff>
        </xdr:to>
        <xdr:sp macro="" textlink="">
          <xdr:nvSpPr>
            <xdr:cNvPr id="143233" name="GroupBoxColisAssurer" hidden="1">
              <a:extLst>
                <a:ext uri="{63B3BB69-23CF-44E3-9099-C40C66FF867C}">
                  <a14:compatExt spid="_x0000_s143233"/>
                </a:ext>
                <a:ext uri="{FF2B5EF4-FFF2-40B4-BE49-F238E27FC236}">
                  <a16:creationId xmlns:a16="http://schemas.microsoft.com/office/drawing/2014/main" id="{00000000-0008-0000-1100-0000812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668656</xdr:colOff>
      <xdr:row>384</xdr:row>
      <xdr:rowOff>34011</xdr:rowOff>
    </xdr:from>
    <xdr:to>
      <xdr:col>3</xdr:col>
      <xdr:colOff>920116</xdr:colOff>
      <xdr:row>384</xdr:row>
      <xdr:rowOff>209271</xdr:rowOff>
    </xdr:to>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388</xdr:row>
      <xdr:rowOff>34011</xdr:rowOff>
    </xdr:from>
    <xdr:to>
      <xdr:col>3</xdr:col>
      <xdr:colOff>920116</xdr:colOff>
      <xdr:row>388</xdr:row>
      <xdr:rowOff>209271</xdr:rowOff>
    </xdr:to>
    <xdr:sp macro="" textlink="">
      <xdr:nvSpPr>
        <xdr:cNvPr id="17" name="TextBox 16">
          <a:extLst>
            <a:ext uri="{FF2B5EF4-FFF2-40B4-BE49-F238E27FC236}">
              <a16:creationId xmlns:a16="http://schemas.microsoft.com/office/drawing/2014/main" id="{00000000-0008-0000-1100-000011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392</xdr:row>
      <xdr:rowOff>34011</xdr:rowOff>
    </xdr:from>
    <xdr:to>
      <xdr:col>3</xdr:col>
      <xdr:colOff>920116</xdr:colOff>
      <xdr:row>392</xdr:row>
      <xdr:rowOff>209271</xdr:rowOff>
    </xdr:to>
    <xdr:sp macro="" textlink="">
      <xdr:nvSpPr>
        <xdr:cNvPr id="18" name="TextBox 17">
          <a:extLst>
            <a:ext uri="{FF2B5EF4-FFF2-40B4-BE49-F238E27FC236}">
              <a16:creationId xmlns:a16="http://schemas.microsoft.com/office/drawing/2014/main" id="{00000000-0008-0000-1100-000012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twoCellAnchor>
    <xdr:from>
      <xdr:col>3</xdr:col>
      <xdr:colOff>668656</xdr:colOff>
      <xdr:row>396</xdr:row>
      <xdr:rowOff>34011</xdr:rowOff>
    </xdr:from>
    <xdr:to>
      <xdr:col>3</xdr:col>
      <xdr:colOff>920116</xdr:colOff>
      <xdr:row>396</xdr:row>
      <xdr:rowOff>209271</xdr:rowOff>
    </xdr:to>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1668781" y="94055286"/>
          <a:ext cx="25146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CA" sz="900">
              <a:latin typeface="Calibri" panose="020F0502020204030204" pitchFamily="34" charset="0"/>
              <a:cs typeface="Calibri" panose="020F0502020204030204" pitchFamily="34" charset="0"/>
            </a:rPr>
            <a:t>S/N</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177800</xdr:rowOff>
        </xdr:from>
        <xdr:to>
          <xdr:col>5</xdr:col>
          <xdr:colOff>330200</xdr:colOff>
          <xdr:row>0</xdr:row>
          <xdr:rowOff>406400</xdr:rowOff>
        </xdr:to>
        <xdr:sp macro="" textlink="">
          <xdr:nvSpPr>
            <xdr:cNvPr id="116737" name="Chkbox_EtiqShip1" hidden="1">
              <a:extLst>
                <a:ext uri="{63B3BB69-23CF-44E3-9099-C40C66FF867C}">
                  <a14:compatExt spid="_x0000_s116737"/>
                </a:ext>
                <a:ext uri="{FF2B5EF4-FFF2-40B4-BE49-F238E27FC236}">
                  <a16:creationId xmlns:a16="http://schemas.microsoft.com/office/drawing/2014/main" id="{00000000-0008-0000-1200-000001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0</xdr:row>
          <xdr:rowOff>177800</xdr:rowOff>
        </xdr:from>
        <xdr:to>
          <xdr:col>13</xdr:col>
          <xdr:colOff>368300</xdr:colOff>
          <xdr:row>0</xdr:row>
          <xdr:rowOff>406400</xdr:rowOff>
        </xdr:to>
        <xdr:sp macro="" textlink="">
          <xdr:nvSpPr>
            <xdr:cNvPr id="116738" name="Chkbox_EtiqShip2" hidden="1">
              <a:extLst>
                <a:ext uri="{63B3BB69-23CF-44E3-9099-C40C66FF867C}">
                  <a14:compatExt spid="_x0000_s116738"/>
                </a:ext>
                <a:ext uri="{FF2B5EF4-FFF2-40B4-BE49-F238E27FC236}">
                  <a16:creationId xmlns:a16="http://schemas.microsoft.com/office/drawing/2014/main" id="{00000000-0008-0000-1200-000002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444500</xdr:rowOff>
        </xdr:from>
        <xdr:to>
          <xdr:col>5</xdr:col>
          <xdr:colOff>330200</xdr:colOff>
          <xdr:row>16</xdr:row>
          <xdr:rowOff>673100</xdr:rowOff>
        </xdr:to>
        <xdr:sp macro="" textlink="">
          <xdr:nvSpPr>
            <xdr:cNvPr id="116741" name="Chkbox_EtiqShip3" hidden="1">
              <a:extLst>
                <a:ext uri="{63B3BB69-23CF-44E3-9099-C40C66FF867C}">
                  <a14:compatExt spid="_x0000_s116741"/>
                </a:ext>
                <a:ext uri="{FF2B5EF4-FFF2-40B4-BE49-F238E27FC236}">
                  <a16:creationId xmlns:a16="http://schemas.microsoft.com/office/drawing/2014/main" id="{00000000-0008-0000-1200-000005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444500</xdr:rowOff>
        </xdr:from>
        <xdr:to>
          <xdr:col>13</xdr:col>
          <xdr:colOff>368300</xdr:colOff>
          <xdr:row>16</xdr:row>
          <xdr:rowOff>673100</xdr:rowOff>
        </xdr:to>
        <xdr:sp macro="" textlink="">
          <xdr:nvSpPr>
            <xdr:cNvPr id="116742" name="Chkbox_EtiqShip4" hidden="1">
              <a:extLst>
                <a:ext uri="{63B3BB69-23CF-44E3-9099-C40C66FF867C}">
                  <a14:compatExt spid="_x0000_s116742"/>
                </a:ext>
                <a:ext uri="{FF2B5EF4-FFF2-40B4-BE49-F238E27FC236}">
                  <a16:creationId xmlns:a16="http://schemas.microsoft.com/office/drawing/2014/main" id="{00000000-0008-0000-1200-000006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711200</xdr:rowOff>
        </xdr:from>
        <xdr:to>
          <xdr:col>5</xdr:col>
          <xdr:colOff>330200</xdr:colOff>
          <xdr:row>32</xdr:row>
          <xdr:rowOff>914400</xdr:rowOff>
        </xdr:to>
        <xdr:sp macro="" textlink="">
          <xdr:nvSpPr>
            <xdr:cNvPr id="116743" name="Chkbox_EtiqShip5" hidden="1">
              <a:extLst>
                <a:ext uri="{63B3BB69-23CF-44E3-9099-C40C66FF867C}">
                  <a14:compatExt spid="_x0000_s116743"/>
                </a:ext>
                <a:ext uri="{FF2B5EF4-FFF2-40B4-BE49-F238E27FC236}">
                  <a16:creationId xmlns:a16="http://schemas.microsoft.com/office/drawing/2014/main" id="{00000000-0008-0000-1200-000007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711200</xdr:rowOff>
        </xdr:from>
        <xdr:to>
          <xdr:col>13</xdr:col>
          <xdr:colOff>330200</xdr:colOff>
          <xdr:row>32</xdr:row>
          <xdr:rowOff>914400</xdr:rowOff>
        </xdr:to>
        <xdr:sp macro="" textlink="">
          <xdr:nvSpPr>
            <xdr:cNvPr id="116744" name="Chkbox_EtiqShip6" hidden="1">
              <a:extLst>
                <a:ext uri="{63B3BB69-23CF-44E3-9099-C40C66FF867C}">
                  <a14:compatExt spid="_x0000_s116744"/>
                </a:ext>
                <a:ext uri="{FF2B5EF4-FFF2-40B4-BE49-F238E27FC236}">
                  <a16:creationId xmlns:a16="http://schemas.microsoft.com/office/drawing/2014/main" id="{00000000-0008-0000-1200-000008C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Etiquette 6</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2273300</xdr:colOff>
          <xdr:row>0</xdr:row>
          <xdr:rowOff>25400</xdr:rowOff>
        </xdr:from>
        <xdr:to>
          <xdr:col>8</xdr:col>
          <xdr:colOff>4483100</xdr:colOff>
          <xdr:row>0</xdr:row>
          <xdr:rowOff>165100</xdr:rowOff>
        </xdr:to>
        <xdr:sp macro="" textlink="">
          <xdr:nvSpPr>
            <xdr:cNvPr id="148482" name="Check Box Francais" hidden="1">
              <a:extLst>
                <a:ext uri="{63B3BB69-23CF-44E3-9099-C40C66FF867C}">
                  <a14:compatExt spid="_x0000_s148482"/>
                </a:ext>
                <a:ext uri="{FF2B5EF4-FFF2-40B4-BE49-F238E27FC236}">
                  <a16:creationId xmlns:a16="http://schemas.microsoft.com/office/drawing/2014/main" id="{00000000-0008-0000-1300-000002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Francais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4368800</xdr:colOff>
          <xdr:row>0</xdr:row>
          <xdr:rowOff>0</xdr:rowOff>
        </xdr:from>
        <xdr:to>
          <xdr:col>8</xdr:col>
          <xdr:colOff>6197600</xdr:colOff>
          <xdr:row>0</xdr:row>
          <xdr:rowOff>190500</xdr:rowOff>
        </xdr:to>
        <xdr:sp macro="" textlink="">
          <xdr:nvSpPr>
            <xdr:cNvPr id="148483" name="Check Box Distributeurs" hidden="1">
              <a:extLst>
                <a:ext uri="{63B3BB69-23CF-44E3-9099-C40C66FF867C}">
                  <a14:compatExt spid="_x0000_s148483"/>
                </a:ext>
                <a:ext uri="{FF2B5EF4-FFF2-40B4-BE49-F238E27FC236}">
                  <a16:creationId xmlns:a16="http://schemas.microsoft.com/office/drawing/2014/main" id="{00000000-0008-0000-1300-000003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 Distributeurs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0</xdr:row>
          <xdr:rowOff>25400</xdr:rowOff>
        </xdr:from>
        <xdr:to>
          <xdr:col>8</xdr:col>
          <xdr:colOff>1155700</xdr:colOff>
          <xdr:row>1</xdr:row>
          <xdr:rowOff>12700</xdr:rowOff>
        </xdr:to>
        <xdr:sp macro="" textlink="">
          <xdr:nvSpPr>
            <xdr:cNvPr id="148484" name="CheckboxSoftwareHardware" descr="Detailed Prices" hidden="1">
              <a:extLst>
                <a:ext uri="{63B3BB69-23CF-44E3-9099-C40C66FF867C}">
                  <a14:compatExt spid="_x0000_s148484"/>
                </a:ext>
                <a:ext uri="{FF2B5EF4-FFF2-40B4-BE49-F238E27FC236}">
                  <a16:creationId xmlns:a16="http://schemas.microsoft.com/office/drawing/2014/main" id="{00000000-0008-0000-1300-000004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396</xdr:row>
          <xdr:rowOff>25400</xdr:rowOff>
        </xdr:from>
        <xdr:to>
          <xdr:col>8</xdr:col>
          <xdr:colOff>1168400</xdr:colOff>
          <xdr:row>397</xdr:row>
          <xdr:rowOff>25400</xdr:rowOff>
        </xdr:to>
        <xdr:sp macro="" textlink="">
          <xdr:nvSpPr>
            <xdr:cNvPr id="148485" name="CheckboxSoftwareHardware" descr="Detailed Prices" hidden="1">
              <a:extLst>
                <a:ext uri="{63B3BB69-23CF-44E3-9099-C40C66FF867C}">
                  <a14:compatExt spid="_x0000_s148485"/>
                </a:ext>
                <a:ext uri="{FF2B5EF4-FFF2-40B4-BE49-F238E27FC236}">
                  <a16:creationId xmlns:a16="http://schemas.microsoft.com/office/drawing/2014/main" id="{00000000-0008-0000-1300-000005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Split in 2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5689600</xdr:colOff>
          <xdr:row>0</xdr:row>
          <xdr:rowOff>0</xdr:rowOff>
        </xdr:from>
        <xdr:to>
          <xdr:col>8</xdr:col>
          <xdr:colOff>6692900</xdr:colOff>
          <xdr:row>0</xdr:row>
          <xdr:rowOff>190500</xdr:rowOff>
        </xdr:to>
        <xdr:sp macro="" textlink="">
          <xdr:nvSpPr>
            <xdr:cNvPr id="148486" name="CheckBoxInternetDownload" descr="Detailed Prices" hidden="1">
              <a:extLst>
                <a:ext uri="{63B3BB69-23CF-44E3-9099-C40C66FF867C}">
                  <a14:compatExt spid="_x0000_s148486"/>
                </a:ext>
                <a:ext uri="{FF2B5EF4-FFF2-40B4-BE49-F238E27FC236}">
                  <a16:creationId xmlns:a16="http://schemas.microsoft.com/office/drawing/2014/main" id="{00000000-0008-0000-1300-000006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Internet Download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127</xdr:row>
          <xdr:rowOff>177800</xdr:rowOff>
        </xdr:from>
        <xdr:to>
          <xdr:col>13</xdr:col>
          <xdr:colOff>1536700</xdr:colOff>
          <xdr:row>130</xdr:row>
          <xdr:rowOff>177800</xdr:rowOff>
        </xdr:to>
        <xdr:sp macro="" textlink="">
          <xdr:nvSpPr>
            <xdr:cNvPr id="148487" name="CheckboxSoftwareHardware" descr="Detailed Prices" hidden="1">
              <a:extLst>
                <a:ext uri="{63B3BB69-23CF-44E3-9099-C40C66FF867C}">
                  <a14:compatExt spid="_x0000_s148487"/>
                </a:ext>
                <a:ext uri="{FF2B5EF4-FFF2-40B4-BE49-F238E27FC236}">
                  <a16:creationId xmlns:a16="http://schemas.microsoft.com/office/drawing/2014/main" id="{00000000-0008-0000-1300-0000074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12700</xdr:rowOff>
        </xdr:to>
        <xdr:sp macro="" textlink="">
          <xdr:nvSpPr>
            <xdr:cNvPr id="146433" name="CheckBoxStaticListPrice" hidden="1">
              <a:extLst>
                <a:ext uri="{63B3BB69-23CF-44E3-9099-C40C66FF867C}">
                  <a14:compatExt spid="_x0000_s146433"/>
                </a:ext>
                <a:ext uri="{FF2B5EF4-FFF2-40B4-BE49-F238E27FC236}">
                  <a16:creationId xmlns:a16="http://schemas.microsoft.com/office/drawing/2014/main" id="{00000000-0008-0000-1400-0000013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xdr:row>
          <xdr:rowOff>0</xdr:rowOff>
        </xdr:from>
        <xdr:to>
          <xdr:col>3</xdr:col>
          <xdr:colOff>0</xdr:colOff>
          <xdr:row>3</xdr:row>
          <xdr:rowOff>0</xdr:rowOff>
        </xdr:to>
        <xdr:sp macro="" textlink="">
          <xdr:nvSpPr>
            <xdr:cNvPr id="150529" name="CheckBoxStaticListPrice" hidden="1">
              <a:extLst>
                <a:ext uri="{63B3BB69-23CF-44E3-9099-C40C66FF867C}">
                  <a14:compatExt spid="_x0000_s150529"/>
                </a:ext>
                <a:ext uri="{FF2B5EF4-FFF2-40B4-BE49-F238E27FC236}">
                  <a16:creationId xmlns:a16="http://schemas.microsoft.com/office/drawing/2014/main" id="{00000000-0008-0000-1500-0000014C02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FFFFFF"/>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Show List Price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ClientButtons" displayName="TableClientButtons" ref="B3:P86" totalsRowShown="0" headerRowDxfId="259" dataDxfId="258">
  <autoFilter ref="B3:P86" xr:uid="{00000000-0009-0000-0100-000001000000}"/>
  <tableColumns count="15">
    <tableColumn id="1" xr3:uid="{00000000-0010-0000-0000-000001000000}" name="Column1" dataDxfId="257"/>
    <tableColumn id="2" xr3:uid="{00000000-0010-0000-0000-000002000000}" name="Column2" dataDxfId="256"/>
    <tableColumn id="3" xr3:uid="{00000000-0010-0000-0000-000003000000}" name="Column3" dataDxfId="255"/>
    <tableColumn id="4" xr3:uid="{00000000-0010-0000-0000-000004000000}" name="Column4" dataDxfId="254"/>
    <tableColumn id="5" xr3:uid="{00000000-0010-0000-0000-000005000000}" name="Column5" dataDxfId="253"/>
    <tableColumn id="6" xr3:uid="{00000000-0010-0000-0000-000006000000}" name="Column6" dataDxfId="252"/>
    <tableColumn id="7" xr3:uid="{00000000-0010-0000-0000-000007000000}" name="Column7" dataDxfId="251"/>
    <tableColumn id="8" xr3:uid="{00000000-0010-0000-0000-000008000000}" name="Column8" dataDxfId="250"/>
    <tableColumn id="9" xr3:uid="{00000000-0010-0000-0000-000009000000}" name="Column9" dataDxfId="249"/>
    <tableColumn id="10" xr3:uid="{00000000-0010-0000-0000-00000A000000}" name="Column10" dataDxfId="248"/>
    <tableColumn id="11" xr3:uid="{00000000-0010-0000-0000-00000B000000}" name="Column11" dataDxfId="247"/>
    <tableColumn id="12" xr3:uid="{73D29D78-95F5-4804-B192-F4218E187470}" name="Column12" dataDxfId="246"/>
    <tableColumn id="13" xr3:uid="{A88F94D4-88CA-43DC-80DE-C8C86B0F22A8}" name="Column13" dataDxfId="245"/>
    <tableColumn id="14" xr3:uid="{AF380189-FAB3-4054-8941-1686EFD4A980}" name="Column14" dataDxfId="244"/>
    <tableColumn id="15" xr3:uid="{039CD6A4-B94D-4725-9456-2B03AF09C996}" name="Column15" dataDxfId="243"/>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Lists" displayName="TableLists" ref="B143:T164" totalsRowShown="0" headerRowDxfId="242" dataDxfId="241">
  <autoFilter ref="B143:T1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100-000001000000}" name="Column1" dataDxfId="240"/>
    <tableColumn id="2" xr3:uid="{00000000-0010-0000-0100-000002000000}" name="Column2" dataDxfId="239"/>
    <tableColumn id="3" xr3:uid="{00000000-0010-0000-0100-000003000000}" name="Column3" dataDxfId="238"/>
    <tableColumn id="4" xr3:uid="{00000000-0010-0000-0100-000004000000}" name="Column4" dataDxfId="237"/>
    <tableColumn id="6" xr3:uid="{00000000-0010-0000-0100-000006000000}" name="Column5" dataDxfId="236"/>
    <tableColumn id="7" xr3:uid="{00000000-0010-0000-0100-000007000000}" name="Column6" dataDxfId="235"/>
    <tableColumn id="8" xr3:uid="{00000000-0010-0000-0100-000008000000}" name="Column7" dataDxfId="234"/>
    <tableColumn id="10" xr3:uid="{00000000-0010-0000-0100-00000A000000}" name="Column8" dataDxfId="233"/>
    <tableColumn id="14" xr3:uid="{00000000-0010-0000-0100-00000E000000}" name="Column9" dataDxfId="232"/>
    <tableColumn id="5" xr3:uid="{00000000-0010-0000-0100-000005000000}" name="Column10" dataDxfId="231"/>
    <tableColumn id="21" xr3:uid="{00000000-0010-0000-0100-000015000000}" name="Column11" dataDxfId="230"/>
    <tableColumn id="18" xr3:uid="{416F90B7-4EE3-46EB-8087-6F90FFF3FF32}" name="Column12" dataDxfId="229"/>
    <tableColumn id="9" xr3:uid="{00000000-0010-0000-0100-000009000000}" name="Column13" dataDxfId="228"/>
    <tableColumn id="11" xr3:uid="{00000000-0010-0000-0100-00000B000000}" name="Column14" dataDxfId="227"/>
    <tableColumn id="12" xr3:uid="{00000000-0010-0000-0100-00000C000000}" name="Column15" dataDxfId="226"/>
    <tableColumn id="13" xr3:uid="{00000000-0010-0000-0100-00000D000000}" name="Column16" dataDxfId="225"/>
    <tableColumn id="15" xr3:uid="{00000000-0010-0000-0100-00000F000000}" name="Column17" dataDxfId="224"/>
    <tableColumn id="16" xr3:uid="{00000000-0010-0000-0100-000010000000}" name="Column18" dataDxfId="223"/>
    <tableColumn id="17" xr3:uid="{00000000-0010-0000-0100-000011000000}" name="Column19" dataDxfId="22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DiscountMisc" displayName="TableDiscountMisc" ref="B88:C136" headerRowDxfId="221" dataDxfId="220" totalsRowDxfId="219">
  <autoFilter ref="B88:C136" xr:uid="{00000000-0009-0000-0100-000002000000}">
    <filterColumn colId="0" hiddenButton="1"/>
    <filterColumn colId="1" hiddenButton="1"/>
  </autoFilter>
  <tableColumns count="2">
    <tableColumn id="1" xr3:uid="{00000000-0010-0000-0200-000001000000}" name="Column1" totalsRowLabel="Noms des logiciels à ajouter dans le filename" dataDxfId="218" totalsRowDxfId="217"/>
    <tableColumn id="2" xr3:uid="{00000000-0010-0000-0200-000002000000}" name="Column2" totalsRowFunction="custom" dataDxfId="216" totalsRowDxfId="215">
      <totalsRowFormula>IF(
AND(Checkbox_WinDENDRO,Checkbox_WinCELL,Checkbox_WinRHIZO,Checkbox_WinRHIZOTron,Checkbox_WinFOLIA,Checkbox_WinSEEDLE,Checkbox_WinCAM,Checkbox_WinSCANOPY,OptionButton_Suites),"All",
IF(Checkbox_WinDENDRO,"Den","")&amp;
IF(Checkbox_WinCELL,"Cel","")&amp;
IF(Checkbox_WinRHIZO,"Riz","")&amp;
IF(Checkbox_WinRHIZOTron,"Tro","")&amp;
IF(Checkbox_WinFOLIA,"Fol","")&amp;
IF(Checkbox_WinSEEDLE,"See","")&amp;
IF(Checkbox_WinCAM,"Cam","")&amp;
IF(Checkbox_WinSCANOPY,"Opy","")&amp;
IF(OptionButton_Suites,"Suite",""))</totalsRow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UpdateUpgrade" displayName="TableUpdateUpgrade" ref="B166:C170" totalsRowShown="0">
  <autoFilter ref="B166:C170" xr:uid="{00000000-0009-0000-0100-000006000000}">
    <filterColumn colId="0" hiddenButton="1"/>
    <filterColumn colId="1" hiddenButton="1"/>
  </autoFilter>
  <tableColumns count="2">
    <tableColumn id="1" xr3:uid="{00000000-0010-0000-0400-000001000000}" name="Column1" dataDxfId="214"/>
    <tableColumn id="2" xr3:uid="{00000000-0010-0000-0400-000002000000}" name="Column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425DB0-D600-4AB1-B0C3-065E9647756D}" name="TableDatePicker" displayName="TableDatePicker" ref="G89:R120" totalsRowShown="0" headerRowDxfId="213" dataDxfId="212">
  <autoFilter ref="G89:R120" xr:uid="{58425DB0-D600-4AB1-B0C3-065E9647756D}"/>
  <tableColumns count="12">
    <tableColumn id="1" xr3:uid="{382A5B07-914F-4C5B-ACA4-63B1B46B3FBE}" name="1" dataDxfId="211"/>
    <tableColumn id="2" xr3:uid="{0DED3E30-C370-40F9-90E8-4FF4BE64BE20}" name="2" dataDxfId="210"/>
    <tableColumn id="3" xr3:uid="{D129C45D-355B-4ED7-BC67-DFF0FB078109}" name="3" dataDxfId="209"/>
    <tableColumn id="4" xr3:uid="{318DB3D1-E5E2-4D16-89D7-2471514960AD}" name="4" dataDxfId="208"/>
    <tableColumn id="5" xr3:uid="{B08A8E04-52CC-4688-A35E-4F2F3AF647A5}" name="5" dataDxfId="207"/>
    <tableColumn id="6" xr3:uid="{71849AC0-2FD4-47C2-B345-901C8F3658C6}" name="6" dataDxfId="206"/>
    <tableColumn id="7" xr3:uid="{7B4EC30C-4632-4103-85F7-46E657FE38B4}" name="7" dataDxfId="205"/>
    <tableColumn id="8" xr3:uid="{E8786632-6277-499B-86C1-4C13DEEF7FAB}" name="8" dataDxfId="204"/>
    <tableColumn id="9" xr3:uid="{0ECFC58E-416C-4291-AE80-D49C943B3D21}" name="9" dataDxfId="203"/>
    <tableColumn id="10" xr3:uid="{A1E1189C-3B2F-4556-A36D-7DB440A24BFA}" name="10" dataDxfId="202"/>
    <tableColumn id="11" xr3:uid="{4AB2A26D-3E1A-4F42-B91B-6ABCA4B6FF6E}" name="11" dataDxfId="201"/>
    <tableColumn id="12" xr3:uid="{98FD09B2-C365-4017-A758-D1BC9445B5A1}" name="12" dataDxfId="20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99C440E-F3D1-40BD-84D0-7B5E3784D028}" name="TablePays" displayName="TablePays" ref="B184:F390" totalsRowShown="0" headerRowDxfId="199" dataDxfId="198">
  <autoFilter ref="B184:F390" xr:uid="{799C440E-F3D1-40BD-84D0-7B5E3784D028}"/>
  <sortState xmlns:xlrd2="http://schemas.microsoft.com/office/spreadsheetml/2017/richdata2" ref="B185:F390">
    <sortCondition ref="B184:B390"/>
  </sortState>
  <tableColumns count="5">
    <tableColumn id="1" xr3:uid="{815FF3CA-9A9E-4A7F-B37C-B24B76517769}" name="Country_Names" dataDxfId="197"/>
    <tableColumn id="2" xr3:uid="{0CF2872A-3EF8-4ECE-A2A2-D84B0DC5A0E4}" name="Country_Index" dataDxfId="196"/>
    <tableColumn id="3" xr3:uid="{A17EB3AD-63F8-43CF-9C80-9EA26EFA87B6}" name="Continent" dataDxfId="195"/>
    <tableColumn id="4" xr3:uid="{BCCFE42C-2D75-4FA9-BF77-6B88C72A6845}" name="Original List =1 (Autre = 0)" dataDxfId="194"/>
    <tableColumn id="5" xr3:uid="{B0658D0B-189F-465E-B417-3AE38ECB87D3}" name="Code Facture" dataDxfId="193"/>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859EFEC-6DE2-4DC0-B734-5A9D34CDA883}" name="TablePaysSearch" displayName="TablePaysSearch" ref="H184:J390" totalsRowShown="0" headerRowDxfId="192">
  <autoFilter ref="H184:J390" xr:uid="{F859EFEC-6DE2-4DC0-B734-5A9D34CDA883}"/>
  <tableColumns count="3">
    <tableColumn id="1" xr3:uid="{11A47EAD-61C5-4C69-8258-2F91C7203A32}" name="FoundInSearch" dataDxfId="191">
      <calculatedColumnFormula>IF(ISNUMBER(SEARCH(HOME_Country,TablePays[[#This Row],[Country_Names]])),1,0)</calculatedColumnFormula>
    </tableColumn>
    <tableColumn id="2" xr3:uid="{243F69D5-B925-4467-870B-3396EC9B713C}" name="FilteredCountry" dataDxfId="190">
      <calculatedColumnFormula>IF(J185&lt;&gt;"",INDEX(TablePays[Country_Names],J185),"")</calculatedColumnFormula>
    </tableColumn>
    <tableColumn id="3" xr3:uid="{A8E26F9D-13C3-4272-A660-CADCEB6C01D5}" name="rownum" dataDxfId="189">
      <calculatedColumnFormula array="1">IFERROR(MATCH(0,COUNTIF($I$184:I184,TablePays[Country_Names])+IF($H$185:$H$390=0,1,0),0),"")</calculatedColumnFormula>
    </tableColumn>
  </tableColumns>
  <tableStyleInfo name="TableStyleDark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QCalcMain" displayName="TableQCalcMain" ref="B2:AH159" totalsRowShown="0" headerRowDxfId="188" dataDxfId="187">
  <autoFilter ref="B2:AH159" xr:uid="{00000000-0009-0000-0100-000005000000}"/>
  <tableColumns count="33">
    <tableColumn id="1" xr3:uid="{00000000-0010-0000-0500-000001000000}" name="Variable / Product ID" dataDxfId="186"/>
    <tableColumn id="3" xr3:uid="{00000000-0010-0000-0500-000003000000}" name="Real_Quantity" dataDxfId="185">
      <calculatedColumnFormula>IF(
IFERROR(INDIRECT(TableQCalcMain[[#This Row],[Variable / Product ID]])*1-1,0)+IFERROR(FIND("_OptionXL",TableQCalcMain[[#This Row],[Variable / Product ID]])&gt;0,0)&gt;0,
IFERROR(INDIRECT(TableQCalcMain[[#This Row],[Variable / Product ID]])*1-1,0)+IFERROR(FIND("_OptionXL",TableQCalcMain[[#This Row],[Variable / Product ID]])&gt;0,0),
"")</calculatedColumnFormula>
    </tableColumn>
    <tableColumn id="8" xr3:uid="{00000000-0010-0000-0500-000008000000}" name="ShowDesc?" dataDxfId="184"/>
    <tableColumn id="15" xr3:uid="{C558686B-7202-40B0-83D8-5CBEF0C4FDD0}" name="Software" dataDxfId="183"/>
    <tableColumn id="16" xr3:uid="{34FB7758-E8E2-41E1-89F1-B83219E51B16}" name="Hardware" dataDxfId="182"/>
    <tableColumn id="17" xr3:uid="{630C3CD0-D49C-450A-A783-91EDA26C0578}" name="ShowSoft" dataDxfId="181">
      <calculatedColumnFormula>TableQCalcMain[[#This Row],[ShowDesc?]]*TableQCalcMain[[#This Row],[Software]]</calculatedColumnFormula>
    </tableColumn>
    <tableColumn id="18" xr3:uid="{A72FD968-C0AC-4DD8-930C-D837132F92E2}" name="ShowHard" dataDxfId="180">
      <calculatedColumnFormula>TableQCalcMain[[#This Row],[ShowDesc?]]*TableQCalcMain[[#This Row],[Hardware]]</calculatedColumnFormula>
    </tableColumn>
    <tableColumn id="4" xr3:uid="{00000000-0010-0000-0500-000004000000}" name="Description" dataDxfId="179"/>
    <tableColumn id="10" xr3:uid="{00000000-0010-0000-0500-00000A000000}" name="Harmonized_Code" dataDxfId="178"/>
    <tableColumn id="14" xr3:uid="{00000000-0010-0000-0500-00000E000000}" name="Detailed_Ext_Price" dataDxfId="177"/>
    <tableColumn id="11" xr3:uid="{00000000-0010-0000-0500-00000B000000}" name="Unit_Price" dataDxfId="176"/>
    <tableColumn id="12" xr3:uid="{00000000-0010-0000-0500-00000C000000}" name="Extended_price" dataDxfId="175"/>
    <tableColumn id="5" xr3:uid="{00000000-0010-0000-0500-000005000000}" name="Description_Unsplit" dataDxfId="174">
      <calculatedColumnFormula array="1">IFERROR(
INDEX(TableQCalcMain[Description],MATCH(0,COUNTIF(N1:$N$126,TableQCalcMain[Description])+IF(TableQCalcMain[ShowDesc?]=0,1,0),0)),"")</calculatedColumnFormula>
    </tableColumn>
    <tableColumn id="9" xr3:uid="{00000000-0010-0000-0500-000009000000}" name="Harmonized_Code_Unsplit" dataDxfId="173"/>
    <tableColumn id="2" xr3:uid="{00000000-0010-0000-0500-000002000000}" name="DetailedPrice_Unsplit" dataDxfId="172"/>
    <tableColumn id="6" xr3:uid="{00000000-0010-0000-0500-000006000000}" name="RealQty_Unsplit" dataDxfId="171">
      <calculatedColumnFormula>IFERROR(
OFFSET(INDEX($I$22:$I$146,MATCH(0,COUNTIF(N2:$N$2,$I$22:$I$146)+IF($D$22:$D$146=0,1,0),0)),0,-2),"")</calculatedColumnFormula>
    </tableColumn>
    <tableColumn id="7" xr3:uid="{00000000-0010-0000-0500-000007000000}" name="Unit Price_Unsplit" dataDxfId="170"/>
    <tableColumn id="13" xr3:uid="{00000000-0010-0000-0500-00000D000000}" name="Ext Price_Unsplit" dataDxfId="169"/>
    <tableColumn id="19" xr3:uid="{ABE27FE9-1580-469F-ACAA-F1201CD6282A}" name="RowNumOfShownItems_Unsplit" dataDxfId="168"/>
    <tableColumn id="20" xr3:uid="{D031F8C8-A96E-4D66-ACA0-28ECFCDB4B53}" name="Description_SOFT" dataDxfId="167"/>
    <tableColumn id="21" xr3:uid="{09D8DDF7-E5BF-4088-AA58-F3FB8DF47399}" name="Harmonized_Code_SOFT" dataDxfId="166"/>
    <tableColumn id="22" xr3:uid="{FD9D78C2-D12E-41D2-ACCE-9E1D50F0A212}" name="DetailedPrice_SOFT" dataDxfId="165"/>
    <tableColumn id="23" xr3:uid="{DFA8DBA5-FE3F-4680-8675-CBCC883C0A3D}" name="RealQty_SOFT" dataDxfId="164"/>
    <tableColumn id="24" xr3:uid="{6FFA55DE-25BC-4CD4-971B-31EC26169AB5}" name="Unit_Price_SOFT" dataDxfId="163"/>
    <tableColumn id="25" xr3:uid="{ADC900DD-0598-4163-AB97-1721E2A99D8B}" name="Ext_Price_SOFT" dataDxfId="162"/>
    <tableColumn id="26" xr3:uid="{C0621B9A-89DF-4ED0-B633-A9EC29F28C03}" name="RowNumOfShownItems_SOFT" dataDxfId="161"/>
    <tableColumn id="27" xr3:uid="{6A201B77-61A2-4829-BBE7-25C1BFC61965}" name="DescHW" dataDxfId="160"/>
    <tableColumn id="28" xr3:uid="{A8C30F3C-4CDC-4F4E-95F4-9EB9F5A9809A}" name="CodeH HW" dataDxfId="159"/>
    <tableColumn id="29" xr3:uid="{BB3FC60C-282E-4E1B-9870-E96917E74475}" name="DetailedPriceHW" dataDxfId="158"/>
    <tableColumn id="30" xr3:uid="{55720E03-1F1B-49FB-92A2-6977088B6A68}" name="QtyHW" dataDxfId="157"/>
    <tableColumn id="31" xr3:uid="{3F3EAA00-89F3-4E5A-955C-31278D78C8BF}" name="Unit_PriceHW" dataDxfId="156"/>
    <tableColumn id="32" xr3:uid="{FBB2B460-154E-44A4-91F7-B5E704AB284F}" name="Ext_PriceHW" dataDxfId="155"/>
    <tableColumn id="33" xr3:uid="{BC0268B0-2B7A-4DAB-AA96-5F03BC144E18}" name="RowNumOfShownItems_Hard" dataDxfId="154"/>
  </tableColumns>
  <tableStyleInfo name="TableStyleDark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QCalcRabais" displayName="TableQCalcRabais" ref="B412:N420" totalsRowShown="0">
  <autoFilter ref="B412:N420" xr:uid="{00000000-0009-0000-0100-000007000000}"/>
  <tableColumns count="13">
    <tableColumn id="1" xr3:uid="{00000000-0010-0000-0600-000001000000}" name="Software"/>
    <tableColumn id="3" xr3:uid="{00000000-0010-0000-0600-000003000000}" name="XL+Win Price+Update/upgrade"/>
    <tableColumn id="4" xr3:uid="{00000000-0010-0000-0600-000004000000}" name="Dist price"/>
    <tableColumn id="9" xr3:uid="{00000000-0010-0000-0600-000009000000}" name="license"/>
    <tableColumn id="10" xr3:uid="{00000000-0010-0000-0600-00000A000000}" name="update"/>
    <tableColumn id="13" xr3:uid="{00000000-0010-0000-0600-00000D000000}" name="upgrade" dataDxfId="153"/>
    <tableColumn id="5" xr3:uid="{00000000-0010-0000-0600-000005000000}" name="XLSoftware"/>
    <tableColumn id="6" xr3:uid="{00000000-0010-0000-0600-000006000000}" name="Column2">
      <calculatedColumnFormula>IF(QUOTE_SameClient=TRUE,
REPT(" ",30)&amp;INDEX(TableLists[Column12],TableQCalcRabais[[#This Row],[iRow+2]])*100 &amp; IF(Francais,"% de rabais sur ","% discount on ") &amp; INDEX(IF(Francais,{"2e";"3e";"4e";"5e";"6e";"7e";"8e"},{"2nd";"3rd";"4th";"5th";"6th";"7th";"8th"}),TableQCalcRabais[[#This Row],[iRow+2]]-1) &amp; IF(Francais," produit: "," product: ") &amp;
OFFSET(TableQCalcRabais[Software],MATCH(TableQCalcRabais[[#This Row],[iRow+2]],TableQCalcRabais[Rank],0)-1,0,1,1) &amp;" (" &amp;IF(
OFFSET(TableQCalcRabais[license],MATCH(TableQCalcRabais[[#This Row],[iRow+2]],TableQCalcRabais[Rank],0)-1,0,1,1)&gt;0,IF(Francais,"Nouvelle License","New License"),"") &amp; IF(AND(
OFFSET(TableQCalcRabais[license],MATCH(TableQCalcRabais[[#This Row],[iRow+2]],TableQCalcRabais[Rank],0)-1,0,1,1)&gt;0,OR(
OFFSET(TableQCalcRabais[update],MATCH(TableQCalcRabais[[#This Row],[iRow+2]],TableQCalcRabais[Rank],0)-1,0,1,1)&gt;0,
OFFSET(TableQCalcRabais[upgrade],MATCH(TableQCalcRabais[[#This Row],[iRow+2]],TableQCalcRabais[Rank],0)-1,0,1,1)&gt;0,
OFFSET(TableQCalcRabais[upgrade],MATCH(TableQCalcRabais[[#This Row],[iRow+2]],TableQCalcRabais[Rank],0)-1,0,1,1)&gt;0)),"&amp;","") &amp;IF(OR(
OFFSET(TableQCalcRabais[update],MATCH(TableQCalcRabais[[#This Row],[iRow+2]],TableQCalcRabais[Rank],0)-1,0,1,1)&gt;0,
OFFSET(TableQCalcRabais[upgrade],MATCH(TableQCalcRabais[[#This Row],[iRow+2]],TableQCalcRabais[Rank],0)-1,0,1,1)&gt;0),IF(Francais,"M-à-jour","Update"),"") &amp;IF(
OFFSET(TableQCalcRabais[XLSoftware],MATCH(TableQCalcRabais[[#This Row],[iRow+2]],TableQCalcRabais[Rank],0)-1,0,1,1)&gt;0,
OFFSET(TableQCalcRabais[XLName],MATCH(TableQCalcRabais[[#This Row],[iRow+2]],TableQCalcRabais[Rank],0)-1,0,1,1),"") &amp; ")",NA())</calculatedColumnFormula>
    </tableColumn>
    <tableColumn id="7" xr3:uid="{00000000-0010-0000-0600-000007000000}" name="Rank">
      <calculatedColumnFormula xml:space="preserve">
IF((_xlfn.RANK.EQ(C413,$C$413:$C$420,0)+COUNTIF($C$413:C413,C413)-1)&lt;=COUNTIF($C$413:$C$420,"&gt;0"),_xlfn.RANK.EQ(C413,$C$413:$C$420,0)+COUNTIF($C$413:C413,C413)-1,0)</calculatedColumnFormula>
    </tableColumn>
    <tableColumn id="11" xr3:uid="{00000000-0010-0000-0600-00000B000000}" name="iRow+2">
      <calculatedColumnFormula>ROW(B413)-ROW($B$413)+2</calculatedColumnFormula>
    </tableColumn>
    <tableColumn id="12" xr3:uid="{00000000-0010-0000-0600-00000C000000}" name="Rabais" dataDxfId="152"/>
    <tableColumn id="2" xr3:uid="{BBFD5CDB-8CD8-471C-BE68-43676F2F7CD1}" name="Column1"/>
    <tableColumn id="8" xr3:uid="{D35D4507-D5A0-413C-9B1A-86CC94D6029F}" name="XLName"/>
  </tableColumns>
  <tableStyleInfo name="TableStyleDark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708485-8C1A-41FE-8685-61318C86601A}" name="TableQCalcComInv" displayName="TableQCalcComInv" ref="B398:U407" totalsRowShown="0">
  <autoFilter ref="B398:U407" xr:uid="{05708485-8C1A-41FE-8685-61318C86601A}"/>
  <tableColumns count="20">
    <tableColumn id="1" xr3:uid="{F3870F35-916D-44D3-AF41-AE27BF1319CE}" name="Variable / Product ID"/>
    <tableColumn id="2" xr3:uid="{63EDD7FA-A912-4325-BE39-B2EB9ECE99CE}" name="Real Quantity"/>
    <tableColumn id="3" xr3:uid="{4A92471D-81AF-4F26-9EBB-4A6EC4092682}" name="ShowDesc?">
      <calculatedColumnFormula>C399</calculatedColumnFormula>
    </tableColumn>
    <tableColumn id="4" xr3:uid="{A24EA3A9-5E85-4E21-BBCD-3EC83CF91869}" name="Software"/>
    <tableColumn id="5" xr3:uid="{A14BFA31-C0AA-4402-A96F-CD12F02C6D1D}" name="Hardware"/>
    <tableColumn id="6" xr3:uid="{B11DA560-AD66-4075-ACB9-3E662F23C573}" name="ShowSoft"/>
    <tableColumn id="7" xr3:uid="{3524BFF0-C902-4F8C-83A2-01E5BBC80A3A}" name="ShowHard"/>
    <tableColumn id="8" xr3:uid="{2D3DE27D-99FC-4363-A35C-F5E6E727EF32}" name="Description"/>
    <tableColumn id="9" xr3:uid="{64FB557B-3E19-4B2D-A83D-BB5DF7BAF776}" name="Harmonized Code">
      <calculatedColumnFormula>J398</calculatedColumnFormula>
    </tableColumn>
    <tableColumn id="10" xr3:uid="{942B10AF-C833-41F6-B602-9CF75B46A26C}" name="Detailed Ext Price" dataDxfId="151">
      <calculatedColumnFormula>TableQCalcComInv[[#This Row],[Extended price]]</calculatedColumnFormula>
    </tableColumn>
    <tableColumn id="11" xr3:uid="{18CD2B2F-EB83-44E9-9152-790643AC38A5}" name="Unit Price" dataDxfId="150">
      <calculatedColumnFormula>TableQCalcComInv[[#This Row],[Extended price]]</calculatedColumnFormula>
    </tableColumn>
    <tableColumn id="12" xr3:uid="{C6B464C2-68E5-47A2-9FD5-B8DBB1B9C718}" name="Extended price" dataDxfId="149">
      <calculatedColumnFormula>IF(Distributeurs_Rabais,
SUM(WinRHIZO!#REF!,WinRHIZOTron!#REF!, WinSEEDLE!#REF!, WinFOLIA!#REF!, WinCAM!#REF!,WinDENDRO!#REF!,WinCELL!#REF!, WinSCANOPY!#REF!),
SUM(WinRHIZO!H2,WinRHIZOTron!H2, WinSEEDLE!H2, WinFOLIA!H2, WinCAM!H2,WinDENDRO!H2,WinCELL!H2, WinSCANOPY!H2)
)</calculatedColumnFormula>
    </tableColumn>
    <tableColumn id="13" xr3:uid="{2F65F841-76E4-4A5D-B744-7323608C13E2}" name="Array formula description" dataDxfId="148">
      <calculatedColumnFormula array="1">IFERROR(
INDEX(TableQCalcComInv[Description],MATCH(0,COUNTIF(N2:$N$2,TableQCalcComInv[Description])+IF(TableQCalcComInv[ShowDesc?]=0,1,0),0)),"")</calculatedColumnFormula>
    </tableColumn>
    <tableColumn id="14" xr3:uid="{D5AE510B-3CED-4AC5-83DC-8200C49DE6F0}" name="Array Formula Code" dataDxfId="147">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5" xr3:uid="{9B0C93AE-F2B6-4868-BCC9-A7481E7B76F3}" name="ArrayF DetailedPrice" dataDxfId="146">
      <calculatedColumnFormula>IF(
IFERROR(OFFSET(INDEX(TableQCalcComInv[Description],MATCH(0,COUNTIF(N398:$N$398,TableQCalcComInv[[#This Row],[Description]])+IF(TableQCalcComInv[[#This Row],[ShowDesc?]]=0,1,0),0)),0,1),"")&lt;&gt;0,
IFERROR(OFFSET(INDEX(TableQCalcComInv[Description],MATCH(0,COUNTIF(N398:$N$398,TableQCalcComInv[[#This Row],[Description]])+IF(TableQCalcComInv[[#This Row],[ShowDesc?]]=0,1,0),0)),0,1),""),
"")</calculatedColumnFormula>
    </tableColumn>
    <tableColumn id="16" xr3:uid="{8384CA27-7C2F-4B47-BF97-4EE4C435D57E}" name="Array formula Qty" dataDxfId="145">
      <calculatedColumnFormula array="1">IFERROR(
OFFSET(INDEX(TableQCalcComInv[Description],MATCH(0,COUNTIF(N398:$N$398,TableQCalcComInv[Description])+IF(TableQCalcComInv[ShowDesc?]=0,1,0),0)),0,COLUMN(TableQCalcComInv[[#This Row],[Real Quantity]])-COLUMN(TableQCalcComInv[[#This Row],[Description]])),"")</calculatedColumnFormula>
    </tableColumn>
    <tableColumn id="17" xr3:uid="{F317EC7F-3E14-4B91-9D69-FD82C06E0DCB}" name="Array formula Unit Price" dataDxfId="144">
      <calculatedColumnFormula array="1">IF(
IFERROR(OFFSET(INDEX(TableQCalcComInv[Description],MATCH(0,COUNTIF(N398:$N$398,TableQCalcComInv[Description])+IF(TableQCalcComInv[ShowDesc?]=0,1,0),0)),0,3),"")&lt;&gt;0,
IFERROR(OFFSET(INDEX(TableQCalcComInv[Description],MATCH(0,COUNTIF(N398:$N$398,TableQCalcComInv[Description])+IF(TableQCalcComInv[ShowDesc?]=0,1,0),0)),0,3),""),
"")</calculatedColumnFormula>
    </tableColumn>
    <tableColumn id="18" xr3:uid="{E56892D7-D2AA-47CB-B8D6-ED63078E9688}" name="Array formula Ext Price" dataDxfId="143">
      <calculatedColumnFormula array="1">IF(
IFERROR(OFFSET(INDEX(TableQCalcComInv[Description],MATCH(0,COUNTIF(N398:$N$398,TableQCalcComInv[Description])+IF(TableQCalcComInv[ShowDesc?]=0,1,0),0)),0,4),"")&lt;&gt;0,
IFERROR(OFFSET(INDEX(TableQCalcComInv[Description],MATCH(0,COUNTIF(N398:$N$398,TableQCalcComInv[Description])+IF(TableQCalcComInv[ShowDesc?]=0,1,0),0)),0,4),""),
"")</calculatedColumnFormula>
    </tableColumn>
    <tableColumn id="19" xr3:uid="{38FC2A81-771E-451E-B27A-6AC7D5FDF22D}" name="RowNumOfShownItems_COM" dataDxfId="142"/>
    <tableColumn id="20" xr3:uid="{0600B922-5D4B-4F48-9A8C-4A1B332DCEF9}" name="HowManyHardwareBought" dataDxfId="141"/>
  </tableColumns>
  <tableStyleInfo name="TableStyleDark2" showFirstColumn="0" showLastColumn="0" showRowStripes="1" showColumnStripes="0"/>
</table>
</file>

<file path=xl/theme/theme1.xml><?xml version="1.0" encoding="utf-8"?>
<a:theme xmlns:a="http://schemas.openxmlformats.org/drawingml/2006/main" name="Office Theme">
  <a:themeElements>
    <a:clrScheme name="KeepLinkBlu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4.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4.bin"/><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hyperlink" Target="mailto:sales@regentinstruments.com"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4.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drawing" Target="../drawings/drawing5.xml"/><Relationship Id="rId7" Type="http://schemas.openxmlformats.org/officeDocument/2006/relationships/ctrlProp" Target="../ctrlProps/ctrlProp34.xml"/><Relationship Id="rId2" Type="http://schemas.openxmlformats.org/officeDocument/2006/relationships/printerSettings" Target="../printerSettings/printerSettings5.bin"/><Relationship Id="rId1" Type="http://schemas.openxmlformats.org/officeDocument/2006/relationships/hyperlink" Target="mailto:sales@regentinstruments.com"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vmlDrawing" Target="../drawings/vmlDrawing5.v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drawing" Target="../drawings/drawing6.x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printerSettings" Target="../printerSettings/printerSettings6.bin"/><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hyperlink" Target="mailto:sales@regentinstruments.com" TargetMode="External"/><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vmlDrawing" Target="../drawings/vmlDrawing6.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drawing" Target="../drawings/drawing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printerSettings" Target="../printerSettings/printerSettings7.bin"/><Relationship Id="rId16" Type="http://schemas.openxmlformats.org/officeDocument/2006/relationships/ctrlProp" Target="../ctrlProps/ctrlProp72.xml"/><Relationship Id="rId1" Type="http://schemas.openxmlformats.org/officeDocument/2006/relationships/hyperlink" Target="mailto:sales@regentinstruments.com" TargetMode="External"/><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vmlDrawing" Target="../drawings/vmlDrawing7.v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drawing" Target="../drawings/drawing8.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printerSettings" Target="../printerSettings/printerSettings8.bin"/><Relationship Id="rId16" Type="http://schemas.openxmlformats.org/officeDocument/2006/relationships/ctrlProp" Target="../ctrlProps/ctrlProp87.xml"/><Relationship Id="rId1" Type="http://schemas.openxmlformats.org/officeDocument/2006/relationships/hyperlink" Target="mailto:sales@regentinstruments.com" TargetMode="External"/><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vmlDrawing" Target="../drawings/vmlDrawing8.v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9.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9.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mailto:sales@regentinstruments.com" TargetMode="Externa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9.v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drawing" Target="../drawings/drawing10.xml"/><Relationship Id="rId7" Type="http://schemas.openxmlformats.org/officeDocument/2006/relationships/ctrlProp" Target="../ctrlProps/ctrlProp109.xml"/><Relationship Id="rId2" Type="http://schemas.openxmlformats.org/officeDocument/2006/relationships/printerSettings" Target="../printerSettings/printerSettings10.bin"/><Relationship Id="rId1" Type="http://schemas.openxmlformats.org/officeDocument/2006/relationships/hyperlink" Target="mailto:sales@regentinstruments.com" TargetMode="External"/><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vmlDrawing" Target="../drawings/vmlDrawing10.vml"/><Relationship Id="rId9"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drawing" Target="../drawings/drawing11.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printerSettings" Target="../printerSettings/printerSettings11.bin"/><Relationship Id="rId16" Type="http://schemas.openxmlformats.org/officeDocument/2006/relationships/ctrlProp" Target="../ctrlProps/ctrlProp125.xml"/><Relationship Id="rId1" Type="http://schemas.openxmlformats.org/officeDocument/2006/relationships/hyperlink" Target="mailto:sales@regentinstruments.com" TargetMode="External"/><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vmlDrawing" Target="../drawings/vmlDrawing11.v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2.vml"/><Relationship Id="rId7"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3.xml"/><Relationship Id="rId11" Type="http://schemas.openxmlformats.org/officeDocument/2006/relationships/comments" Target="../comments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13.vml"/><Relationship Id="rId7" Type="http://schemas.openxmlformats.org/officeDocument/2006/relationships/ctrlProp" Target="../ctrlProps/ctrlProp130.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omments" Target="../comments4.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14.vml"/><Relationship Id="rId7"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15.vml"/><Relationship Id="rId7" Type="http://schemas.openxmlformats.org/officeDocument/2006/relationships/ctrlProp" Target="../ctrlProps/ctrlProp14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vmlDrawing" Target="../drawings/vmlDrawing16.vml"/><Relationship Id="rId7" Type="http://schemas.openxmlformats.org/officeDocument/2006/relationships/ctrlProp" Target="../ctrlProps/ctrlProp148.xml"/><Relationship Id="rId12" Type="http://schemas.openxmlformats.org/officeDocument/2006/relationships/table" Target="../tables/table10.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47.xml"/><Relationship Id="rId11" Type="http://schemas.openxmlformats.org/officeDocument/2006/relationships/table" Target="../tables/table9.xml"/><Relationship Id="rId5" Type="http://schemas.openxmlformats.org/officeDocument/2006/relationships/ctrlProp" Target="../ctrlProps/ctrlProp146.xml"/><Relationship Id="rId10" Type="http://schemas.openxmlformats.org/officeDocument/2006/relationships/table" Target="../tables/table8.xml"/><Relationship Id="rId4" Type="http://schemas.openxmlformats.org/officeDocument/2006/relationships/ctrlProp" Target="../ctrlProps/ctrlProp145.xml"/><Relationship Id="rId9" Type="http://schemas.openxmlformats.org/officeDocument/2006/relationships/ctrlProp" Target="../ctrlProps/ctrlProp15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1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15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T238"/>
  <sheetViews>
    <sheetView showGridLines="0" zoomScaleNormal="100" workbookViewId="0">
      <selection activeCell="B21" sqref="B21"/>
    </sheetView>
  </sheetViews>
  <sheetFormatPr baseColWidth="10" defaultColWidth="0" defaultRowHeight="15.5" customHeight="1" zeroHeight="1" x14ac:dyDescent="0.2"/>
  <cols>
    <col min="1" max="1" width="18.6640625" bestFit="1" customWidth="1"/>
    <col min="2" max="5" width="4.5" customWidth="1"/>
    <col min="6" max="6" width="22" customWidth="1"/>
    <col min="7" max="7" width="13.1640625" bestFit="1" customWidth="1"/>
    <col min="8" max="8" width="22" customWidth="1"/>
    <col min="9" max="9" width="4.6640625" bestFit="1" customWidth="1"/>
    <col min="10" max="10" width="4.5" customWidth="1"/>
    <col min="11" max="11" width="18.6640625" bestFit="1" customWidth="1"/>
    <col min="12" max="15" width="4.5" customWidth="1"/>
    <col min="16" max="16" width="22" customWidth="1"/>
    <col min="17" max="17" width="13.1640625" bestFit="1" customWidth="1"/>
    <col min="18" max="18" width="31.1640625" customWidth="1"/>
    <col min="19" max="19" width="1.6640625" customWidth="1"/>
    <col min="20" max="20" width="4.5" hidden="1" customWidth="1"/>
    <col min="21" max="16384" width="8.6640625" hidden="1"/>
  </cols>
  <sheetData>
    <row r="1" spans="1:18" ht="16" x14ac:dyDescent="0.2"/>
    <row r="2" spans="1:18" ht="16" x14ac:dyDescent="0.2"/>
    <row r="3" spans="1:18" ht="26" x14ac:dyDescent="0.2">
      <c r="A3" s="725" t="str">
        <f>IF(Francais,Vars!$C$173, Vars!$C$174)</f>
        <v>Regent Instruments interactive price list 2025</v>
      </c>
      <c r="B3" s="726"/>
      <c r="C3" s="726"/>
      <c r="D3" s="726"/>
      <c r="E3" s="726"/>
      <c r="F3" s="726"/>
      <c r="G3" s="726"/>
      <c r="H3" s="726"/>
      <c r="I3" s="726"/>
      <c r="J3" s="726"/>
      <c r="K3" s="726"/>
      <c r="L3" s="726"/>
      <c r="M3" s="726"/>
      <c r="N3" s="726"/>
      <c r="O3" s="726"/>
      <c r="P3" s="726"/>
      <c r="Q3" s="726"/>
      <c r="R3" s="727"/>
    </row>
    <row r="4" spans="1:18" ht="293.25" customHeight="1" x14ac:dyDescent="0.2">
      <c r="A4" s="728"/>
      <c r="B4" s="728"/>
      <c r="C4" s="728"/>
      <c r="D4" s="728"/>
      <c r="E4" s="728"/>
      <c r="F4" s="728"/>
      <c r="G4" s="728"/>
      <c r="H4" s="728"/>
      <c r="I4" s="728"/>
      <c r="J4" s="728"/>
      <c r="K4" s="728"/>
      <c r="L4" s="728"/>
      <c r="M4" s="728"/>
      <c r="N4" s="728"/>
      <c r="O4" s="728"/>
      <c r="P4" s="728"/>
      <c r="Q4" s="728"/>
      <c r="R4" s="728"/>
    </row>
    <row r="5" spans="1:18" ht="15.75" customHeight="1" x14ac:dyDescent="0.2">
      <c r="A5" s="588"/>
      <c r="B5" s="589"/>
      <c r="C5" s="589"/>
      <c r="D5" s="589"/>
      <c r="E5" s="589"/>
      <c r="F5" s="589"/>
      <c r="G5" s="590"/>
      <c r="H5" s="590"/>
      <c r="I5" s="590"/>
      <c r="J5" s="590"/>
      <c r="K5" s="590"/>
      <c r="L5" s="590"/>
      <c r="M5" s="590"/>
      <c r="N5" s="590"/>
      <c r="O5" s="590"/>
      <c r="P5" s="590"/>
      <c r="Q5" s="590"/>
      <c r="R5" s="590"/>
    </row>
    <row r="6" spans="1:18" ht="16" x14ac:dyDescent="0.2">
      <c r="A6" s="111" t="str">
        <f>IF(Francais,"# Client","Customer #")</f>
        <v>Customer #</v>
      </c>
      <c r="B6" s="730"/>
      <c r="C6" s="730"/>
      <c r="D6" s="730"/>
      <c r="E6" s="730"/>
      <c r="F6" s="731" t="str">
        <f>IF(Francais,
CONCATENATE("Si vous avez déjà acheté chez nous dans le passé, ce numéro est inscrit sur les clés de protection de nos logiciels et sur nos factures. ","Il est composé de deux lettres et de sept chiffres (par exemple US2311212). Il est nécessaire pour calculer les remises et le coût des mises à jour des logiciels."),
"If you already bought from us in the past, this number is written on our software protection keys and invoices. It is made of two letters and 7 numbers (e.g. US2311212). It is required to calculate discounts and software updates cost.")</f>
        <v>If you already bought from us in the past, this number is written on our software protection keys and invoices. It is made of two letters and 7 numbers (e.g. US2311212). It is required to calculate discounts and software updates cost.</v>
      </c>
      <c r="G6" s="731"/>
      <c r="H6" s="731"/>
      <c r="I6" s="731"/>
      <c r="J6" s="731"/>
      <c r="K6" s="731"/>
      <c r="L6" s="731"/>
      <c r="M6" s="731"/>
      <c r="N6" s="731"/>
      <c r="O6" s="731"/>
      <c r="P6" s="731"/>
      <c r="Q6" s="731"/>
      <c r="R6" s="731"/>
    </row>
    <row r="7" spans="1:18" ht="16" x14ac:dyDescent="0.2">
      <c r="A7" s="546" t="str">
        <f>IF(Francais,"ACHETEUR:","BUYER:")</f>
        <v>BUYER:</v>
      </c>
      <c r="B7" s="545"/>
      <c r="C7" s="545"/>
      <c r="D7" s="545"/>
      <c r="E7" s="545"/>
      <c r="F7" s="545"/>
      <c r="G7" s="545"/>
      <c r="H7" s="545"/>
      <c r="I7" s="545"/>
      <c r="J7" s="545"/>
      <c r="K7" s="545"/>
      <c r="L7" s="545"/>
      <c r="M7" s="545"/>
      <c r="N7" s="545"/>
      <c r="O7" s="545"/>
      <c r="P7" s="545"/>
      <c r="Q7" s="545"/>
      <c r="R7" s="545"/>
    </row>
    <row r="8" spans="1:18" ht="16" x14ac:dyDescent="0.2">
      <c r="A8" s="109"/>
      <c r="B8" s="110" t="str">
        <f>IF(Francais,"FACTURATION : ","BILL TO : ")</f>
        <v xml:space="preserve">BILL TO : </v>
      </c>
      <c r="C8" s="110"/>
      <c r="D8" s="110"/>
      <c r="E8" s="110"/>
      <c r="F8" s="110"/>
      <c r="G8" s="110"/>
      <c r="H8" s="110"/>
      <c r="I8" s="110"/>
      <c r="J8" s="110"/>
      <c r="K8" s="109"/>
      <c r="L8" s="118" t="str">
        <f>IF(Francais,"EXPÉDITION : ","SHIP TO :")</f>
        <v>SHIP TO :</v>
      </c>
      <c r="M8" s="118"/>
      <c r="N8" s="118"/>
      <c r="O8" s="118"/>
      <c r="P8" s="118"/>
      <c r="Q8" s="118"/>
      <c r="R8" s="119"/>
    </row>
    <row r="9" spans="1:18" ht="16" x14ac:dyDescent="0.2">
      <c r="A9" s="112" t="str">
        <f>IF(Francais,"Titre","Title")</f>
        <v>Title</v>
      </c>
      <c r="B9" s="135"/>
      <c r="C9" s="724" t="str">
        <f>IF(Francais,"Prénom","First Name")</f>
        <v>First Name</v>
      </c>
      <c r="D9" s="724"/>
      <c r="E9" s="724"/>
      <c r="F9" s="587"/>
      <c r="G9" s="114" t="str">
        <f>IF(Francais,"Nom","Last Name")</f>
        <v>Last Name</v>
      </c>
      <c r="H9" s="136"/>
      <c r="I9" s="113"/>
      <c r="J9" s="113"/>
      <c r="K9" s="111" t="str">
        <f>A9</f>
        <v>Title</v>
      </c>
      <c r="L9" s="136" t="str">
        <f t="shared" ref="L9:L16" si="0">IF(AND(Checkbox_SameAsBillTo=TRUE,NOT(ISBLANK(B9))),B9,"")</f>
        <v/>
      </c>
      <c r="M9" s="729" t="str">
        <f>C9</f>
        <v>First Name</v>
      </c>
      <c r="N9" s="729"/>
      <c r="O9" s="729"/>
      <c r="P9" s="136" t="str">
        <f>IF(AND(Checkbox_SameAsBillTo=TRUE,NOT(ISBLANK(F9))),F9,"")</f>
        <v/>
      </c>
      <c r="Q9" s="114" t="str">
        <f>G9</f>
        <v>Last Name</v>
      </c>
      <c r="R9" s="586" t="str">
        <f>IF(AND(Checkbox_SameAsBillTo=TRUE,NOT(ISBLANK(H9))),H9,"")</f>
        <v/>
      </c>
    </row>
    <row r="10" spans="1:18" ht="16" x14ac:dyDescent="0.2">
      <c r="A10" s="112" t="str">
        <f>IF(Francais,"Institution/Entreprise","Institution/Company")</f>
        <v>Institution/Company</v>
      </c>
      <c r="B10" s="722"/>
      <c r="C10" s="722"/>
      <c r="D10" s="722"/>
      <c r="E10" s="722"/>
      <c r="F10" s="722"/>
      <c r="G10" s="113" t="s">
        <v>130</v>
      </c>
      <c r="H10" s="113"/>
      <c r="I10" s="113"/>
      <c r="J10" s="113"/>
      <c r="K10" s="111" t="str">
        <f t="shared" ref="K10:K16" si="1">A10</f>
        <v>Institution/Company</v>
      </c>
      <c r="L10" s="722" t="str">
        <f t="shared" si="0"/>
        <v/>
      </c>
      <c r="M10" s="722"/>
      <c r="N10" s="722"/>
      <c r="O10" s="722"/>
      <c r="P10" s="722"/>
      <c r="Q10" s="113"/>
      <c r="R10" s="120"/>
    </row>
    <row r="11" spans="1:18" ht="16" x14ac:dyDescent="0.2">
      <c r="A11" s="111" t="str">
        <f>IF(Francais,"Addresse 1","Address 1")</f>
        <v>Address 1</v>
      </c>
      <c r="B11" s="722"/>
      <c r="C11" s="722"/>
      <c r="D11" s="722"/>
      <c r="E11" s="722"/>
      <c r="F11" s="722"/>
      <c r="G11" s="113" t="s">
        <v>130</v>
      </c>
      <c r="H11" s="113"/>
      <c r="I11" s="113"/>
      <c r="J11" s="113"/>
      <c r="K11" s="111" t="str">
        <f t="shared" si="1"/>
        <v>Address 1</v>
      </c>
      <c r="L11" s="722" t="str">
        <f t="shared" si="0"/>
        <v/>
      </c>
      <c r="M11" s="722"/>
      <c r="N11" s="722"/>
      <c r="O11" s="722"/>
      <c r="P11" s="722"/>
      <c r="Q11" s="113"/>
      <c r="R11" s="120"/>
    </row>
    <row r="12" spans="1:18" ht="16" x14ac:dyDescent="0.2">
      <c r="A12" s="111" t="str">
        <f>IF(Francais,"Addresse 2","Address 2")</f>
        <v>Address 2</v>
      </c>
      <c r="B12" s="722"/>
      <c r="C12" s="722"/>
      <c r="D12" s="722"/>
      <c r="E12" s="722"/>
      <c r="F12" s="722"/>
      <c r="G12" s="113" t="s">
        <v>130</v>
      </c>
      <c r="H12" s="113"/>
      <c r="I12" s="113"/>
      <c r="J12" s="113"/>
      <c r="K12" s="111" t="str">
        <f t="shared" si="1"/>
        <v>Address 2</v>
      </c>
      <c r="L12" s="722" t="str">
        <f t="shared" si="0"/>
        <v/>
      </c>
      <c r="M12" s="722"/>
      <c r="N12" s="722"/>
      <c r="O12" s="722"/>
      <c r="P12" s="722"/>
      <c r="Q12" s="113"/>
      <c r="R12" s="120"/>
    </row>
    <row r="13" spans="1:18" ht="16" x14ac:dyDescent="0.2">
      <c r="A13" s="111" t="str">
        <f>IF(Francais,"Ville","City")</f>
        <v>City</v>
      </c>
      <c r="B13" s="722"/>
      <c r="C13" s="722"/>
      <c r="D13" s="722"/>
      <c r="E13" s="722"/>
      <c r="F13" s="722"/>
      <c r="G13" s="113" t="s">
        <v>130</v>
      </c>
      <c r="H13" s="113"/>
      <c r="I13" s="113"/>
      <c r="J13" s="113"/>
      <c r="K13" s="111" t="str">
        <f t="shared" si="1"/>
        <v>City</v>
      </c>
      <c r="L13" s="722" t="str">
        <f t="shared" si="0"/>
        <v/>
      </c>
      <c r="M13" s="722"/>
      <c r="N13" s="722"/>
      <c r="O13" s="722"/>
      <c r="P13" s="722"/>
      <c r="Q13" s="113"/>
      <c r="R13" s="120"/>
    </row>
    <row r="14" spans="1:18" ht="16" x14ac:dyDescent="0.2">
      <c r="A14" s="111" t="str">
        <f>IF(Francais,"Pays","Country")</f>
        <v>Country</v>
      </c>
      <c r="B14" s="732"/>
      <c r="C14" s="732"/>
      <c r="D14" s="732"/>
      <c r="E14" s="732"/>
      <c r="F14" s="732"/>
      <c r="G14" s="114" t="str">
        <f>IF(Francais,"Province/État","Province/State")</f>
        <v>Province/State</v>
      </c>
      <c r="H14" s="136"/>
      <c r="I14" s="113"/>
      <c r="J14" s="113"/>
      <c r="K14" s="111" t="str">
        <f t="shared" si="1"/>
        <v>Country</v>
      </c>
      <c r="L14" s="722" t="str">
        <f t="shared" si="0"/>
        <v/>
      </c>
      <c r="M14" s="722"/>
      <c r="N14" s="722"/>
      <c r="O14" s="722"/>
      <c r="P14" s="722"/>
      <c r="Q14" s="114" t="str">
        <f>G14</f>
        <v>Province/State</v>
      </c>
      <c r="R14" s="586" t="str">
        <f>IF(AND(Checkbox_SameAsBillTo=TRUE,NOT(ISBLANK(H14))),H14,"")</f>
        <v/>
      </c>
    </row>
    <row r="15" spans="1:18" ht="16" x14ac:dyDescent="0.2">
      <c r="A15" s="111" t="str">
        <f>IF(Francais,"Tél.","Tel.")</f>
        <v>Tel.</v>
      </c>
      <c r="B15" s="722"/>
      <c r="C15" s="722"/>
      <c r="D15" s="722"/>
      <c r="E15" s="722"/>
      <c r="F15" s="722"/>
      <c r="G15" s="133" t="str">
        <f>IF(Francais,"Code Postal/Zip","Zip/Postal Code")</f>
        <v>Zip/Postal Code</v>
      </c>
      <c r="H15" s="585"/>
      <c r="I15" s="115"/>
      <c r="J15" s="115"/>
      <c r="K15" s="111" t="str">
        <f t="shared" si="1"/>
        <v>Tel.</v>
      </c>
      <c r="L15" s="722" t="str">
        <f t="shared" si="0"/>
        <v/>
      </c>
      <c r="M15" s="722"/>
      <c r="N15" s="722"/>
      <c r="O15" s="722"/>
      <c r="P15" s="722"/>
      <c r="Q15" s="133" t="str">
        <f>G15</f>
        <v>Zip/Postal Code</v>
      </c>
      <c r="R15" s="586" t="str">
        <f>IF(AND(Checkbox_SameAsBillTo=TRUE,NOT(ISBLANK(H15))),H15,"")</f>
        <v/>
      </c>
    </row>
    <row r="16" spans="1:18" ht="16" x14ac:dyDescent="0.2">
      <c r="A16" s="116" t="str">
        <f>IF(Francais,"Id Taxe ou # EORI","Tax Id or EORI #")</f>
        <v>Tax Id or EORI #</v>
      </c>
      <c r="B16" s="723"/>
      <c r="C16" s="723"/>
      <c r="D16" s="723"/>
      <c r="E16" s="723"/>
      <c r="F16" s="723"/>
      <c r="G16" s="117"/>
      <c r="H16" s="117"/>
      <c r="I16" s="117"/>
      <c r="J16" s="117"/>
      <c r="K16" s="116" t="str">
        <f t="shared" si="1"/>
        <v>Tax Id or EORI #</v>
      </c>
      <c r="L16" s="723" t="str">
        <f t="shared" si="0"/>
        <v/>
      </c>
      <c r="M16" s="723"/>
      <c r="N16" s="723"/>
      <c r="O16" s="723"/>
      <c r="P16" s="723"/>
      <c r="Q16" s="117"/>
      <c r="R16" s="121"/>
    </row>
    <row r="17" spans="1:10" ht="15.5" customHeight="1" x14ac:dyDescent="0.2">
      <c r="A17" s="14" t="str">
        <f>IF(Francais, "Id Taxe requis pour tous les expéditions vers les États-Unis.", "Tax Id required for all shipments to USA.")</f>
        <v>Tax Id required for all shipments to USA.</v>
      </c>
    </row>
    <row r="18" spans="1:10" ht="15.5" customHeight="1" x14ac:dyDescent="0.2">
      <c r="A18" s="14" t="str">
        <f>IF(Francais, "Numéro EORI requis pour toutes les expéditions vers un pays de l'Union Européenne.", "EORI number required for all shipments to European Union countries.")</f>
        <v>EORI number required for all shipments to European Union countries.</v>
      </c>
    </row>
    <row r="19" spans="1:10" ht="15.5" customHeight="1" x14ac:dyDescent="0.2">
      <c r="B19" t="s">
        <v>475</v>
      </c>
    </row>
    <row r="20" spans="1:10" ht="15.5" customHeight="1" x14ac:dyDescent="0.2">
      <c r="A20" s="546" t="str">
        <f>IF(Francais,"UTILISATEUR:","END USER:")</f>
        <v>END USER:</v>
      </c>
      <c r="B20" s="545" t="str">
        <f>IF(Francais,"(si différent d'acheteur)","(If different from buyer)")</f>
        <v>(If different from buyer)</v>
      </c>
      <c r="C20" s="545"/>
      <c r="D20" s="545"/>
      <c r="E20" s="545"/>
      <c r="F20" s="545"/>
      <c r="G20" s="545"/>
      <c r="H20" s="545"/>
      <c r="I20" s="545"/>
      <c r="J20" s="545"/>
    </row>
    <row r="21" spans="1:10" ht="15.5" customHeight="1" x14ac:dyDescent="0.2">
      <c r="A21" s="112" t="str">
        <f>IF(Francais,"Titre","Title")</f>
        <v>Title</v>
      </c>
      <c r="B21" s="136"/>
      <c r="C21" s="724" t="str">
        <f>IF(Francais,"Prénom","First Name")</f>
        <v>First Name</v>
      </c>
      <c r="D21" s="724"/>
      <c r="E21" s="724"/>
      <c r="F21" s="587"/>
      <c r="G21" s="114" t="str">
        <f>IF(Francais,"Nom","Last Name")</f>
        <v>Last Name</v>
      </c>
      <c r="H21" s="136"/>
      <c r="I21" s="113"/>
      <c r="J21" s="547"/>
    </row>
    <row r="22" spans="1:10" ht="15.5" customHeight="1" x14ac:dyDescent="0.2">
      <c r="A22" s="112" t="str">
        <f>IF(Francais,"Institution/Entreprise","Institution/Company")</f>
        <v>Institution/Company</v>
      </c>
      <c r="B22" s="722"/>
      <c r="C22" s="722"/>
      <c r="D22" s="722"/>
      <c r="E22" s="722"/>
      <c r="F22" s="722"/>
      <c r="G22" s="113" t="s">
        <v>130</v>
      </c>
      <c r="H22" s="113"/>
      <c r="I22" s="113"/>
      <c r="J22" s="120"/>
    </row>
    <row r="23" spans="1:10" ht="15.5" customHeight="1" x14ac:dyDescent="0.2">
      <c r="A23" s="111" t="str">
        <f>IF(Francais,"Addresse 1","Address 1")</f>
        <v>Address 1</v>
      </c>
      <c r="B23" s="722"/>
      <c r="C23" s="722"/>
      <c r="D23" s="722"/>
      <c r="E23" s="722"/>
      <c r="F23" s="722"/>
      <c r="G23" s="113" t="s">
        <v>130</v>
      </c>
      <c r="H23" s="113"/>
      <c r="I23" s="113"/>
      <c r="J23" s="120"/>
    </row>
    <row r="24" spans="1:10" ht="15.5" customHeight="1" x14ac:dyDescent="0.2">
      <c r="A24" s="111" t="str">
        <f>IF(Francais,"Addresse 2","Address 2")</f>
        <v>Address 2</v>
      </c>
      <c r="B24" s="722"/>
      <c r="C24" s="722"/>
      <c r="D24" s="722"/>
      <c r="E24" s="722"/>
      <c r="F24" s="722"/>
      <c r="G24" s="113" t="s">
        <v>130</v>
      </c>
      <c r="H24" s="113"/>
      <c r="I24" s="113"/>
      <c r="J24" s="120"/>
    </row>
    <row r="25" spans="1:10" ht="15.5" customHeight="1" x14ac:dyDescent="0.2">
      <c r="A25" s="111" t="str">
        <f>IF(Francais,"Ville","City")</f>
        <v>City</v>
      </c>
      <c r="B25" s="722"/>
      <c r="C25" s="722"/>
      <c r="D25" s="722"/>
      <c r="E25" s="722"/>
      <c r="F25" s="722"/>
      <c r="G25" s="113" t="s">
        <v>130</v>
      </c>
      <c r="H25" s="113"/>
      <c r="I25" s="113"/>
      <c r="J25" s="120"/>
    </row>
    <row r="26" spans="1:10" ht="15.5" customHeight="1" x14ac:dyDescent="0.2">
      <c r="A26" s="111" t="str">
        <f>IF(Francais,"Pays","Country")</f>
        <v>Country</v>
      </c>
      <c r="B26" s="722"/>
      <c r="C26" s="722"/>
      <c r="D26" s="722"/>
      <c r="E26" s="722"/>
      <c r="F26" s="722"/>
      <c r="G26" s="114" t="str">
        <f>IF(Francais,"Province/État","Province/State")</f>
        <v>Province/State</v>
      </c>
      <c r="H26" s="136"/>
      <c r="I26" s="113"/>
      <c r="J26" s="120"/>
    </row>
    <row r="27" spans="1:10" ht="15.5" customHeight="1" x14ac:dyDescent="0.2">
      <c r="A27" s="116" t="str">
        <f>IF(Francais,"Tél.","Tel.")</f>
        <v>Tel.</v>
      </c>
      <c r="B27" s="723"/>
      <c r="C27" s="723"/>
      <c r="D27" s="723"/>
      <c r="E27" s="723"/>
      <c r="F27" s="723"/>
      <c r="G27" s="609" t="str">
        <f>IF(Francais,"Code Postal/Zip","Zip/Postal Code")</f>
        <v>Zip/Postal Code</v>
      </c>
      <c r="H27" s="610"/>
      <c r="I27" s="611"/>
      <c r="J27" s="612"/>
    </row>
    <row r="28" spans="1:10" ht="15.5" customHeight="1" x14ac:dyDescent="0.2">
      <c r="B28" t="s">
        <v>130</v>
      </c>
    </row>
    <row r="29" spans="1:10" ht="15.5" customHeight="1" x14ac:dyDescent="0.2">
      <c r="B29" t="s">
        <v>130</v>
      </c>
    </row>
    <row r="30" spans="1:10" ht="15.5" hidden="1" customHeight="1" x14ac:dyDescent="0.2">
      <c r="B30" t="str">
        <f>Vars!B185</f>
        <v>Afghanistan</v>
      </c>
    </row>
    <row r="31" spans="1:10" ht="15.5" hidden="1" customHeight="1" x14ac:dyDescent="0.2">
      <c r="B31" t="str">
        <f>Vars!B186</f>
        <v>Albania</v>
      </c>
    </row>
    <row r="32" spans="1:10" ht="15.5" hidden="1" customHeight="1" x14ac:dyDescent="0.2">
      <c r="B32" t="str">
        <f>Vars!B187</f>
        <v>Algeria</v>
      </c>
    </row>
    <row r="33" spans="2:2" ht="15.5" hidden="1" customHeight="1" x14ac:dyDescent="0.2">
      <c r="B33" t="str">
        <f>Vars!B188</f>
        <v>Andorra</v>
      </c>
    </row>
    <row r="34" spans="2:2" ht="15.5" hidden="1" customHeight="1" x14ac:dyDescent="0.2">
      <c r="B34" t="str">
        <f>Vars!B189</f>
        <v>Angola</v>
      </c>
    </row>
    <row r="35" spans="2:2" ht="15.5" hidden="1" customHeight="1" x14ac:dyDescent="0.2">
      <c r="B35" t="str">
        <f>Vars!B190</f>
        <v>Antigua and Barbuda</v>
      </c>
    </row>
    <row r="36" spans="2:2" ht="15.5" hidden="1" customHeight="1" x14ac:dyDescent="0.2">
      <c r="B36" t="str">
        <f>Vars!B191</f>
        <v>Argentina</v>
      </c>
    </row>
    <row r="37" spans="2:2" ht="15.5" hidden="1" customHeight="1" x14ac:dyDescent="0.2">
      <c r="B37" t="str">
        <f>Vars!B192</f>
        <v>Armenia</v>
      </c>
    </row>
    <row r="38" spans="2:2" ht="15.5" hidden="1" customHeight="1" x14ac:dyDescent="0.2">
      <c r="B38" t="str">
        <f>Vars!B193</f>
        <v>Australia</v>
      </c>
    </row>
    <row r="39" spans="2:2" ht="15.5" hidden="1" customHeight="1" x14ac:dyDescent="0.2">
      <c r="B39" t="str">
        <f>Vars!B194</f>
        <v>Austria</v>
      </c>
    </row>
    <row r="40" spans="2:2" ht="15.5" hidden="1" customHeight="1" x14ac:dyDescent="0.2">
      <c r="B40" t="str">
        <f>Vars!B195</f>
        <v>Azerbaijan</v>
      </c>
    </row>
    <row r="41" spans="2:2" ht="15.5" hidden="1" customHeight="1" x14ac:dyDescent="0.2">
      <c r="B41" t="str">
        <f>Vars!B196</f>
        <v>Bahamas</v>
      </c>
    </row>
    <row r="42" spans="2:2" ht="15.5" hidden="1" customHeight="1" x14ac:dyDescent="0.2">
      <c r="B42" t="str">
        <f>Vars!B197</f>
        <v>Bahrain</v>
      </c>
    </row>
    <row r="43" spans="2:2" ht="15.5" hidden="1" customHeight="1" x14ac:dyDescent="0.2">
      <c r="B43" t="str">
        <f>Vars!B198</f>
        <v>Bangladesh</v>
      </c>
    </row>
    <row r="44" spans="2:2" ht="15.5" hidden="1" customHeight="1" x14ac:dyDescent="0.2">
      <c r="B44" t="str">
        <f>Vars!B199</f>
        <v>Barbados</v>
      </c>
    </row>
    <row r="45" spans="2:2" ht="15.5" hidden="1" customHeight="1" x14ac:dyDescent="0.2">
      <c r="B45" t="str">
        <f>Vars!B200</f>
        <v>Belarus</v>
      </c>
    </row>
    <row r="46" spans="2:2" ht="15.5" hidden="1" customHeight="1" x14ac:dyDescent="0.2">
      <c r="B46" t="str">
        <f>Vars!B201</f>
        <v>Belgium</v>
      </c>
    </row>
    <row r="47" spans="2:2" ht="15.5" hidden="1" customHeight="1" x14ac:dyDescent="0.2">
      <c r="B47" t="str">
        <f>Vars!B202</f>
        <v>Belize</v>
      </c>
    </row>
    <row r="48" spans="2:2" ht="15.5" hidden="1" customHeight="1" x14ac:dyDescent="0.2">
      <c r="B48" t="str">
        <f>Vars!B203</f>
        <v>Bengladesh</v>
      </c>
    </row>
    <row r="49" spans="2:2" ht="15.5" hidden="1" customHeight="1" x14ac:dyDescent="0.2">
      <c r="B49" t="str">
        <f>Vars!B204</f>
        <v>Benin</v>
      </c>
    </row>
    <row r="50" spans="2:2" ht="15.5" hidden="1" customHeight="1" x14ac:dyDescent="0.2">
      <c r="B50" t="str">
        <f>Vars!B205</f>
        <v>Bhutan</v>
      </c>
    </row>
    <row r="51" spans="2:2" ht="15.5" hidden="1" customHeight="1" x14ac:dyDescent="0.2">
      <c r="B51" t="str">
        <f>Vars!B206</f>
        <v>Bolivia</v>
      </c>
    </row>
    <row r="52" spans="2:2" ht="15.5" hidden="1" customHeight="1" x14ac:dyDescent="0.2">
      <c r="B52" t="str">
        <f>Vars!B207</f>
        <v>Bosnia and Herzegovina</v>
      </c>
    </row>
    <row r="53" spans="2:2" ht="15.5" hidden="1" customHeight="1" x14ac:dyDescent="0.2">
      <c r="B53" t="str">
        <f>Vars!B208</f>
        <v>Botswana</v>
      </c>
    </row>
    <row r="54" spans="2:2" ht="15.5" hidden="1" customHeight="1" x14ac:dyDescent="0.2">
      <c r="B54" t="str">
        <f>Vars!B209</f>
        <v>Brazil</v>
      </c>
    </row>
    <row r="55" spans="2:2" ht="15.5" hidden="1" customHeight="1" x14ac:dyDescent="0.2">
      <c r="B55" t="str">
        <f>Vars!B210</f>
        <v>Brunei</v>
      </c>
    </row>
    <row r="56" spans="2:2" ht="15.5" hidden="1" customHeight="1" x14ac:dyDescent="0.2">
      <c r="B56" t="str">
        <f>Vars!B211</f>
        <v>Bulgaria</v>
      </c>
    </row>
    <row r="57" spans="2:2" ht="15.5" hidden="1" customHeight="1" x14ac:dyDescent="0.2">
      <c r="B57" t="str">
        <f>Vars!B212</f>
        <v>Burkina</v>
      </c>
    </row>
    <row r="58" spans="2:2" ht="15.5" hidden="1" customHeight="1" x14ac:dyDescent="0.2">
      <c r="B58" t="str">
        <f>Vars!B213</f>
        <v>Burma (Myanmar)</v>
      </c>
    </row>
    <row r="59" spans="2:2" ht="15.5" hidden="1" customHeight="1" x14ac:dyDescent="0.2">
      <c r="B59" t="str">
        <f>Vars!B214</f>
        <v>Burundi</v>
      </c>
    </row>
    <row r="60" spans="2:2" ht="15.5" hidden="1" customHeight="1" x14ac:dyDescent="0.2">
      <c r="B60" t="str">
        <f>Vars!B215</f>
        <v>Cambodia</v>
      </c>
    </row>
    <row r="61" spans="2:2" ht="15.5" hidden="1" customHeight="1" x14ac:dyDescent="0.2">
      <c r="B61" t="str">
        <f>Vars!B216</f>
        <v>Cameroon</v>
      </c>
    </row>
    <row r="62" spans="2:2" ht="15.5" hidden="1" customHeight="1" x14ac:dyDescent="0.2">
      <c r="B62" t="str">
        <f>Vars!B217</f>
        <v>Canada</v>
      </c>
    </row>
    <row r="63" spans="2:2" ht="15.5" hidden="1" customHeight="1" x14ac:dyDescent="0.2">
      <c r="B63" t="str">
        <f>Vars!B218</f>
        <v>Cape Verde</v>
      </c>
    </row>
    <row r="64" spans="2:2" ht="15.5" hidden="1" customHeight="1" x14ac:dyDescent="0.2">
      <c r="B64" t="str">
        <f>Vars!B219</f>
        <v>Central African Republic</v>
      </c>
    </row>
    <row r="65" spans="2:2" ht="15.5" hidden="1" customHeight="1" x14ac:dyDescent="0.2">
      <c r="B65" t="str">
        <f>Vars!B220</f>
        <v>Chad</v>
      </c>
    </row>
    <row r="66" spans="2:2" ht="15.5" hidden="1" customHeight="1" x14ac:dyDescent="0.2">
      <c r="B66" t="str">
        <f>Vars!B221</f>
        <v>Chile</v>
      </c>
    </row>
    <row r="67" spans="2:2" ht="15.5" hidden="1" customHeight="1" x14ac:dyDescent="0.2">
      <c r="B67" t="str">
        <f>Vars!B222</f>
        <v>China</v>
      </c>
    </row>
    <row r="68" spans="2:2" ht="15.5" hidden="1" customHeight="1" x14ac:dyDescent="0.2">
      <c r="B68" t="str">
        <f>Vars!B223</f>
        <v>Colombia</v>
      </c>
    </row>
    <row r="69" spans="2:2" ht="15.5" hidden="1" customHeight="1" x14ac:dyDescent="0.2">
      <c r="B69" t="str">
        <f>Vars!B224</f>
        <v>Comoros</v>
      </c>
    </row>
    <row r="70" spans="2:2" ht="15.5" hidden="1" customHeight="1" x14ac:dyDescent="0.2">
      <c r="B70" t="str">
        <f>Vars!B225</f>
        <v>Congo</v>
      </c>
    </row>
    <row r="71" spans="2:2" ht="15.5" hidden="1" customHeight="1" x14ac:dyDescent="0.2">
      <c r="B71" t="str">
        <f>Vars!B226</f>
        <v>Congo, Democratic Republic of</v>
      </c>
    </row>
    <row r="72" spans="2:2" ht="15.5" hidden="1" customHeight="1" x14ac:dyDescent="0.2">
      <c r="B72" t="str">
        <f>Vars!B227</f>
        <v>Costa Rica</v>
      </c>
    </row>
    <row r="73" spans="2:2" ht="15.5" hidden="1" customHeight="1" x14ac:dyDescent="0.2">
      <c r="B73" t="str">
        <f>Vars!B228</f>
        <v>Croatia</v>
      </c>
    </row>
    <row r="74" spans="2:2" ht="15.5" hidden="1" customHeight="1" x14ac:dyDescent="0.2">
      <c r="B74" t="str">
        <f>Vars!B229</f>
        <v>Cuba</v>
      </c>
    </row>
    <row r="75" spans="2:2" ht="15.5" hidden="1" customHeight="1" x14ac:dyDescent="0.2">
      <c r="B75" t="str">
        <f>Vars!B230</f>
        <v>Cyprus</v>
      </c>
    </row>
    <row r="76" spans="2:2" ht="15.5" hidden="1" customHeight="1" x14ac:dyDescent="0.2">
      <c r="B76" t="str">
        <f>Vars!B231</f>
        <v>CZ</v>
      </c>
    </row>
    <row r="77" spans="2:2" ht="15.5" hidden="1" customHeight="1" x14ac:dyDescent="0.2">
      <c r="B77" t="str">
        <f>Vars!B232</f>
        <v>Czechia</v>
      </c>
    </row>
    <row r="78" spans="2:2" ht="15.5" hidden="1" customHeight="1" x14ac:dyDescent="0.2">
      <c r="B78" t="str">
        <f>Vars!B233</f>
        <v>Denmark</v>
      </c>
    </row>
    <row r="79" spans="2:2" ht="15.5" hidden="1" customHeight="1" x14ac:dyDescent="0.2">
      <c r="B79" t="str">
        <f>Vars!B234</f>
        <v>Djibouti</v>
      </c>
    </row>
    <row r="80" spans="2:2" ht="15.5" hidden="1" customHeight="1" x14ac:dyDescent="0.2">
      <c r="B80" t="str">
        <f>Vars!B235</f>
        <v>Dominica</v>
      </c>
    </row>
    <row r="81" spans="2:2" ht="15.5" hidden="1" customHeight="1" x14ac:dyDescent="0.2">
      <c r="B81" t="str">
        <f>Vars!B236</f>
        <v>Dominican Republic</v>
      </c>
    </row>
    <row r="82" spans="2:2" ht="15.5" hidden="1" customHeight="1" x14ac:dyDescent="0.2">
      <c r="B82" t="str">
        <f>Vars!B237</f>
        <v>East Timor</v>
      </c>
    </row>
    <row r="83" spans="2:2" ht="15.5" hidden="1" customHeight="1" x14ac:dyDescent="0.2">
      <c r="B83" t="str">
        <f>Vars!B238</f>
        <v>Ecuador</v>
      </c>
    </row>
    <row r="84" spans="2:2" ht="15.5" hidden="1" customHeight="1" x14ac:dyDescent="0.2">
      <c r="B84" t="str">
        <f>Vars!B239</f>
        <v>Egypt</v>
      </c>
    </row>
    <row r="85" spans="2:2" ht="15.5" hidden="1" customHeight="1" x14ac:dyDescent="0.2">
      <c r="B85" t="str">
        <f>Vars!B240</f>
        <v>El Salvador</v>
      </c>
    </row>
    <row r="86" spans="2:2" ht="15.5" hidden="1" customHeight="1" x14ac:dyDescent="0.2">
      <c r="B86" t="str">
        <f>Vars!B241</f>
        <v>Equatorial Guinea</v>
      </c>
    </row>
    <row r="87" spans="2:2" ht="15.5" hidden="1" customHeight="1" x14ac:dyDescent="0.2">
      <c r="B87" t="str">
        <f>Vars!B242</f>
        <v>Eritrea</v>
      </c>
    </row>
    <row r="88" spans="2:2" ht="15.5" hidden="1" customHeight="1" x14ac:dyDescent="0.2">
      <c r="B88" t="str">
        <f>Vars!B243</f>
        <v>Estonia</v>
      </c>
    </row>
    <row r="89" spans="2:2" ht="15.5" hidden="1" customHeight="1" x14ac:dyDescent="0.2">
      <c r="B89" t="str">
        <f>Vars!B244</f>
        <v>Ethiopia</v>
      </c>
    </row>
    <row r="90" spans="2:2" ht="15.5" hidden="1" customHeight="1" x14ac:dyDescent="0.2">
      <c r="B90" t="str">
        <f>Vars!B245</f>
        <v>Fiji</v>
      </c>
    </row>
    <row r="91" spans="2:2" ht="15.5" hidden="1" customHeight="1" x14ac:dyDescent="0.2">
      <c r="B91" t="str">
        <f>Vars!B246</f>
        <v>Finland</v>
      </c>
    </row>
    <row r="92" spans="2:2" ht="15.5" hidden="1" customHeight="1" x14ac:dyDescent="0.2">
      <c r="B92" t="str">
        <f>Vars!B247</f>
        <v>France</v>
      </c>
    </row>
    <row r="93" spans="2:2" ht="15.5" hidden="1" customHeight="1" x14ac:dyDescent="0.2">
      <c r="B93" t="str">
        <f>Vars!B248</f>
        <v>Gabon</v>
      </c>
    </row>
    <row r="94" spans="2:2" ht="15.5" hidden="1" customHeight="1" x14ac:dyDescent="0.2">
      <c r="B94" t="str">
        <f>Vars!B249</f>
        <v>Gambia</v>
      </c>
    </row>
    <row r="95" spans="2:2" ht="15.5" hidden="1" customHeight="1" x14ac:dyDescent="0.2">
      <c r="B95" t="str">
        <f>Vars!B250</f>
        <v>Georgia</v>
      </c>
    </row>
    <row r="96" spans="2:2" ht="15.5" hidden="1" customHeight="1" x14ac:dyDescent="0.2">
      <c r="B96" t="str">
        <f>Vars!B251</f>
        <v>Germany</v>
      </c>
    </row>
    <row r="97" spans="2:2" ht="15.5" hidden="1" customHeight="1" x14ac:dyDescent="0.2">
      <c r="B97" t="str">
        <f>Vars!B252</f>
        <v>Ghana</v>
      </c>
    </row>
    <row r="98" spans="2:2" ht="15.5" hidden="1" customHeight="1" x14ac:dyDescent="0.2">
      <c r="B98" t="str">
        <f>Vars!B253</f>
        <v>Greece</v>
      </c>
    </row>
    <row r="99" spans="2:2" ht="15.5" hidden="1" customHeight="1" x14ac:dyDescent="0.2">
      <c r="B99" t="str">
        <f>Vars!B254</f>
        <v>Grenada</v>
      </c>
    </row>
    <row r="100" spans="2:2" ht="15.5" hidden="1" customHeight="1" x14ac:dyDescent="0.2">
      <c r="B100" t="str">
        <f>Vars!B255</f>
        <v>Guatemala</v>
      </c>
    </row>
    <row r="101" spans="2:2" ht="15.5" hidden="1" customHeight="1" x14ac:dyDescent="0.2">
      <c r="B101" t="str">
        <f>Vars!B256</f>
        <v>Guinea</v>
      </c>
    </row>
    <row r="102" spans="2:2" ht="15.5" hidden="1" customHeight="1" x14ac:dyDescent="0.2">
      <c r="B102" t="str">
        <f>Vars!B257</f>
        <v>Guinea-Bissau</v>
      </c>
    </row>
    <row r="103" spans="2:2" ht="15.5" hidden="1" customHeight="1" x14ac:dyDescent="0.2">
      <c r="B103" t="str">
        <f>Vars!B258</f>
        <v>Guyana</v>
      </c>
    </row>
    <row r="104" spans="2:2" ht="15.5" hidden="1" customHeight="1" x14ac:dyDescent="0.2">
      <c r="B104" t="str">
        <f>Vars!B259</f>
        <v>Haiti</v>
      </c>
    </row>
    <row r="105" spans="2:2" ht="15.5" hidden="1" customHeight="1" x14ac:dyDescent="0.2">
      <c r="B105" t="str">
        <f>Vars!B260</f>
        <v>Honduras</v>
      </c>
    </row>
    <row r="106" spans="2:2" ht="15.5" hidden="1" customHeight="1" x14ac:dyDescent="0.2">
      <c r="B106" t="str">
        <f>Vars!B261</f>
        <v>Hong Kong</v>
      </c>
    </row>
    <row r="107" spans="2:2" ht="15.5" hidden="1" customHeight="1" x14ac:dyDescent="0.2">
      <c r="B107" t="str">
        <f>Vars!B262</f>
        <v>Hungary</v>
      </c>
    </row>
    <row r="108" spans="2:2" ht="15.5" hidden="1" customHeight="1" x14ac:dyDescent="0.2">
      <c r="B108" t="str">
        <f>Vars!B263</f>
        <v>Iceland</v>
      </c>
    </row>
    <row r="109" spans="2:2" ht="15.5" hidden="1" customHeight="1" x14ac:dyDescent="0.2">
      <c r="B109" t="str">
        <f>Vars!B264</f>
        <v>India</v>
      </c>
    </row>
    <row r="110" spans="2:2" ht="15.5" hidden="1" customHeight="1" x14ac:dyDescent="0.2">
      <c r="B110" t="str">
        <f>Vars!B265</f>
        <v>Indonesia</v>
      </c>
    </row>
    <row r="111" spans="2:2" ht="15.5" hidden="1" customHeight="1" x14ac:dyDescent="0.2">
      <c r="B111" t="str">
        <f>Vars!B266</f>
        <v>Iran</v>
      </c>
    </row>
    <row r="112" spans="2:2" ht="15.5" hidden="1" customHeight="1" x14ac:dyDescent="0.2">
      <c r="B112" t="str">
        <f>Vars!B267</f>
        <v>Iraq</v>
      </c>
    </row>
    <row r="113" spans="2:2" ht="15.5" hidden="1" customHeight="1" x14ac:dyDescent="0.2">
      <c r="B113" t="str">
        <f>Vars!B268</f>
        <v>Ireland</v>
      </c>
    </row>
    <row r="114" spans="2:2" ht="15.5" hidden="1" customHeight="1" x14ac:dyDescent="0.2">
      <c r="B114" t="str">
        <f>Vars!B269</f>
        <v>Israel</v>
      </c>
    </row>
    <row r="115" spans="2:2" ht="15.5" hidden="1" customHeight="1" x14ac:dyDescent="0.2">
      <c r="B115" t="str">
        <f>Vars!B270</f>
        <v>Italy</v>
      </c>
    </row>
    <row r="116" spans="2:2" ht="15.5" hidden="1" customHeight="1" x14ac:dyDescent="0.2">
      <c r="B116" t="str">
        <f>Vars!B271</f>
        <v>Ivory Coast</v>
      </c>
    </row>
    <row r="117" spans="2:2" ht="15.5" hidden="1" customHeight="1" x14ac:dyDescent="0.2">
      <c r="B117" t="str">
        <f>Vars!B272</f>
        <v>Jamaica</v>
      </c>
    </row>
    <row r="118" spans="2:2" ht="15.5" hidden="1" customHeight="1" x14ac:dyDescent="0.2">
      <c r="B118" t="str">
        <f>Vars!B273</f>
        <v>Japan</v>
      </c>
    </row>
    <row r="119" spans="2:2" ht="15.5" hidden="1" customHeight="1" x14ac:dyDescent="0.2">
      <c r="B119" t="str">
        <f>Vars!B274</f>
        <v>Jordan</v>
      </c>
    </row>
    <row r="120" spans="2:2" ht="15.5" hidden="1" customHeight="1" x14ac:dyDescent="0.2">
      <c r="B120" t="str">
        <f>Vars!B275</f>
        <v>Kazakhstan</v>
      </c>
    </row>
    <row r="121" spans="2:2" ht="15.5" hidden="1" customHeight="1" x14ac:dyDescent="0.2">
      <c r="B121" t="str">
        <f>Vars!B276</f>
        <v>Kenya</v>
      </c>
    </row>
    <row r="122" spans="2:2" ht="15.5" hidden="1" customHeight="1" x14ac:dyDescent="0.2">
      <c r="B122" t="str">
        <f>Vars!B277</f>
        <v>Kiribati</v>
      </c>
    </row>
    <row r="123" spans="2:2" ht="15.5" hidden="1" customHeight="1" x14ac:dyDescent="0.2">
      <c r="B123" t="str">
        <f>Vars!B278</f>
        <v>Korea, North</v>
      </c>
    </row>
    <row r="124" spans="2:2" ht="15.5" hidden="1" customHeight="1" x14ac:dyDescent="0.2">
      <c r="B124" t="str">
        <f>Vars!B279</f>
        <v>Korea, South</v>
      </c>
    </row>
    <row r="125" spans="2:2" ht="15.5" hidden="1" customHeight="1" x14ac:dyDescent="0.2">
      <c r="B125" t="str">
        <f>Vars!B280</f>
        <v>Kuwait</v>
      </c>
    </row>
    <row r="126" spans="2:2" ht="15.5" hidden="1" customHeight="1" x14ac:dyDescent="0.2">
      <c r="B126" t="str">
        <f>Vars!B281</f>
        <v>Kyrgyzstan</v>
      </c>
    </row>
    <row r="127" spans="2:2" ht="15.5" hidden="1" customHeight="1" x14ac:dyDescent="0.2">
      <c r="B127" t="str">
        <f>Vars!B282</f>
        <v>Laos</v>
      </c>
    </row>
    <row r="128" spans="2:2" ht="15.5" hidden="1" customHeight="1" x14ac:dyDescent="0.2">
      <c r="B128" t="str">
        <f>Vars!B283</f>
        <v>Latvia</v>
      </c>
    </row>
    <row r="129" spans="2:2" ht="15.5" hidden="1" customHeight="1" x14ac:dyDescent="0.2">
      <c r="B129" t="str">
        <f>Vars!B284</f>
        <v>Lebanon</v>
      </c>
    </row>
    <row r="130" spans="2:2" ht="15.5" hidden="1" customHeight="1" x14ac:dyDescent="0.2">
      <c r="B130" t="str">
        <f>Vars!B285</f>
        <v>Lesotho</v>
      </c>
    </row>
    <row r="131" spans="2:2" ht="15.5" hidden="1" customHeight="1" x14ac:dyDescent="0.2">
      <c r="B131" t="str">
        <f>Vars!B286</f>
        <v>Liberia</v>
      </c>
    </row>
    <row r="132" spans="2:2" ht="15.5" hidden="1" customHeight="1" x14ac:dyDescent="0.2">
      <c r="B132" t="str">
        <f>Vars!B287</f>
        <v>Libya</v>
      </c>
    </row>
    <row r="133" spans="2:2" ht="15.5" hidden="1" customHeight="1" x14ac:dyDescent="0.2">
      <c r="B133" t="str">
        <f>Vars!B288</f>
        <v>Liechtenstein</v>
      </c>
    </row>
    <row r="134" spans="2:2" ht="15.5" hidden="1" customHeight="1" x14ac:dyDescent="0.2">
      <c r="B134" t="str">
        <f>Vars!B289</f>
        <v>Lithuania</v>
      </c>
    </row>
    <row r="135" spans="2:2" ht="15.5" hidden="1" customHeight="1" x14ac:dyDescent="0.2">
      <c r="B135" t="str">
        <f>Vars!B290</f>
        <v>Luxembourg</v>
      </c>
    </row>
    <row r="136" spans="2:2" ht="15.5" hidden="1" customHeight="1" x14ac:dyDescent="0.2">
      <c r="B136" t="str">
        <f>Vars!B291</f>
        <v>Macedonia</v>
      </c>
    </row>
    <row r="137" spans="2:2" ht="15.5" hidden="1" customHeight="1" x14ac:dyDescent="0.2">
      <c r="B137" t="str">
        <f>Vars!B292</f>
        <v>Madagascar</v>
      </c>
    </row>
    <row r="138" spans="2:2" ht="15.5" hidden="1" customHeight="1" x14ac:dyDescent="0.2">
      <c r="B138" t="str">
        <f>Vars!B293</f>
        <v>Malawi</v>
      </c>
    </row>
    <row r="139" spans="2:2" ht="15.5" hidden="1" customHeight="1" x14ac:dyDescent="0.2">
      <c r="B139" t="str">
        <f>Vars!B294</f>
        <v>Malaysia</v>
      </c>
    </row>
    <row r="140" spans="2:2" ht="15.5" hidden="1" customHeight="1" x14ac:dyDescent="0.2">
      <c r="B140" t="str">
        <f>Vars!B295</f>
        <v>Maldives</v>
      </c>
    </row>
    <row r="141" spans="2:2" ht="15.5" hidden="1" customHeight="1" x14ac:dyDescent="0.2">
      <c r="B141" t="str">
        <f>Vars!B296</f>
        <v>Mali</v>
      </c>
    </row>
    <row r="142" spans="2:2" ht="15.5" hidden="1" customHeight="1" x14ac:dyDescent="0.2">
      <c r="B142" t="str">
        <f>Vars!B297</f>
        <v>Malta</v>
      </c>
    </row>
    <row r="143" spans="2:2" ht="15.5" hidden="1" customHeight="1" x14ac:dyDescent="0.2">
      <c r="B143" t="str">
        <f>Vars!B298</f>
        <v>Marshall Islands</v>
      </c>
    </row>
    <row r="144" spans="2:2" ht="15.5" hidden="1" customHeight="1" x14ac:dyDescent="0.2">
      <c r="B144" t="str">
        <f>Vars!B299</f>
        <v>Mauritania</v>
      </c>
    </row>
    <row r="145" spans="2:2" ht="15.5" hidden="1" customHeight="1" x14ac:dyDescent="0.2">
      <c r="B145" t="str">
        <f>Vars!B300</f>
        <v>Mauritius</v>
      </c>
    </row>
    <row r="146" spans="2:2" ht="15.5" hidden="1" customHeight="1" x14ac:dyDescent="0.2">
      <c r="B146" t="str">
        <f>Vars!B301</f>
        <v>Mexico</v>
      </c>
    </row>
    <row r="147" spans="2:2" ht="15.5" hidden="1" customHeight="1" x14ac:dyDescent="0.2">
      <c r="B147" t="str">
        <f>Vars!B302</f>
        <v>Micronesia</v>
      </c>
    </row>
    <row r="148" spans="2:2" ht="15.5" hidden="1" customHeight="1" x14ac:dyDescent="0.2">
      <c r="B148" t="str">
        <f>Vars!B303</f>
        <v>Moldova</v>
      </c>
    </row>
    <row r="149" spans="2:2" ht="15.5" hidden="1" customHeight="1" x14ac:dyDescent="0.2">
      <c r="B149" t="str">
        <f>Vars!B304</f>
        <v>Monaco</v>
      </c>
    </row>
    <row r="150" spans="2:2" ht="15.5" hidden="1" customHeight="1" x14ac:dyDescent="0.2">
      <c r="B150" t="str">
        <f>Vars!B305</f>
        <v>Mongolia</v>
      </c>
    </row>
    <row r="151" spans="2:2" ht="15.5" hidden="1" customHeight="1" x14ac:dyDescent="0.2">
      <c r="B151" t="str">
        <f>Vars!B306</f>
        <v>Montenegro</v>
      </c>
    </row>
    <row r="152" spans="2:2" ht="15.5" hidden="1" customHeight="1" x14ac:dyDescent="0.2">
      <c r="B152" t="str">
        <f>Vars!B307</f>
        <v>Morocco</v>
      </c>
    </row>
    <row r="153" spans="2:2" ht="15.5" hidden="1" customHeight="1" x14ac:dyDescent="0.2">
      <c r="B153" t="str">
        <f>Vars!B308</f>
        <v>Mozambique</v>
      </c>
    </row>
    <row r="154" spans="2:2" ht="15.5" hidden="1" customHeight="1" x14ac:dyDescent="0.2">
      <c r="B154" t="str">
        <f>Vars!B309</f>
        <v>Namibia</v>
      </c>
    </row>
    <row r="155" spans="2:2" ht="15.5" hidden="1" customHeight="1" x14ac:dyDescent="0.2">
      <c r="B155" t="str">
        <f>Vars!B310</f>
        <v>Nauru</v>
      </c>
    </row>
    <row r="156" spans="2:2" ht="15.5" hidden="1" customHeight="1" x14ac:dyDescent="0.2">
      <c r="B156" t="str">
        <f>Vars!B311</f>
        <v>Nepal</v>
      </c>
    </row>
    <row r="157" spans="2:2" ht="15.5" hidden="1" customHeight="1" x14ac:dyDescent="0.2">
      <c r="B157" t="str">
        <f>Vars!B312</f>
        <v>Netherlands</v>
      </c>
    </row>
    <row r="158" spans="2:2" ht="15.5" hidden="1" customHeight="1" x14ac:dyDescent="0.2">
      <c r="B158" t="str">
        <f>Vars!B313</f>
        <v>New Zealand</v>
      </c>
    </row>
    <row r="159" spans="2:2" ht="15.5" hidden="1" customHeight="1" x14ac:dyDescent="0.2">
      <c r="B159" t="str">
        <f>Vars!B314</f>
        <v>Nicaragua</v>
      </c>
    </row>
    <row r="160" spans="2:2" ht="15.5" hidden="1" customHeight="1" x14ac:dyDescent="0.2">
      <c r="B160" t="str">
        <f>Vars!B315</f>
        <v>Niger</v>
      </c>
    </row>
    <row r="161" spans="2:2" ht="15.5" hidden="1" customHeight="1" x14ac:dyDescent="0.2">
      <c r="B161" t="str">
        <f>Vars!B316</f>
        <v>Nigeria</v>
      </c>
    </row>
    <row r="162" spans="2:2" ht="15.5" hidden="1" customHeight="1" x14ac:dyDescent="0.2">
      <c r="B162" t="str">
        <f>Vars!B317</f>
        <v>Norway</v>
      </c>
    </row>
    <row r="163" spans="2:2" ht="15.5" hidden="1" customHeight="1" x14ac:dyDescent="0.2">
      <c r="B163" t="str">
        <f>Vars!B318</f>
        <v>Oman</v>
      </c>
    </row>
    <row r="164" spans="2:2" ht="15.5" hidden="1" customHeight="1" x14ac:dyDescent="0.2">
      <c r="B164" t="str">
        <f>Vars!B319</f>
        <v>Other (Not listed here)</v>
      </c>
    </row>
    <row r="165" spans="2:2" ht="15.5" hidden="1" customHeight="1" x14ac:dyDescent="0.2">
      <c r="B165" t="str">
        <f>Vars!B320</f>
        <v>Pakistan</v>
      </c>
    </row>
    <row r="166" spans="2:2" ht="15.5" hidden="1" customHeight="1" x14ac:dyDescent="0.2">
      <c r="B166" t="str">
        <f>Vars!B321</f>
        <v>Palau</v>
      </c>
    </row>
    <row r="167" spans="2:2" ht="15.5" hidden="1" customHeight="1" x14ac:dyDescent="0.2">
      <c r="B167" t="str">
        <f>Vars!B322</f>
        <v>Panama</v>
      </c>
    </row>
    <row r="168" spans="2:2" ht="15.5" hidden="1" customHeight="1" x14ac:dyDescent="0.2">
      <c r="B168" t="str">
        <f>Vars!B323</f>
        <v>Papua New Guinea</v>
      </c>
    </row>
    <row r="169" spans="2:2" ht="15.5" hidden="1" customHeight="1" x14ac:dyDescent="0.2">
      <c r="B169" t="str">
        <f>Vars!B324</f>
        <v>Paraguay</v>
      </c>
    </row>
    <row r="170" spans="2:2" ht="15.5" hidden="1" customHeight="1" x14ac:dyDescent="0.2">
      <c r="B170" t="str">
        <f>Vars!B325</f>
        <v>Peru</v>
      </c>
    </row>
    <row r="171" spans="2:2" ht="15.5" hidden="1" customHeight="1" x14ac:dyDescent="0.2">
      <c r="B171" t="str">
        <f>Vars!B326</f>
        <v>Philippines</v>
      </c>
    </row>
    <row r="172" spans="2:2" ht="15.5" hidden="1" customHeight="1" x14ac:dyDescent="0.2">
      <c r="B172" t="str">
        <f>Vars!B327</f>
        <v>Poland</v>
      </c>
    </row>
    <row r="173" spans="2:2" ht="15.5" hidden="1" customHeight="1" x14ac:dyDescent="0.2">
      <c r="B173" t="str">
        <f>Vars!B328</f>
        <v>Portugal</v>
      </c>
    </row>
    <row r="174" spans="2:2" ht="15.5" hidden="1" customHeight="1" x14ac:dyDescent="0.2">
      <c r="B174" t="str">
        <f>Vars!B329</f>
        <v>Qatar</v>
      </c>
    </row>
    <row r="175" spans="2:2" ht="15.5" hidden="1" customHeight="1" x14ac:dyDescent="0.2">
      <c r="B175" t="str">
        <f>Vars!B330</f>
        <v>Romania</v>
      </c>
    </row>
    <row r="176" spans="2:2" ht="15.5" hidden="1" customHeight="1" x14ac:dyDescent="0.2">
      <c r="B176" t="str">
        <f>Vars!B331</f>
        <v>Russian Federation</v>
      </c>
    </row>
    <row r="177" spans="2:2" ht="15.5" hidden="1" customHeight="1" x14ac:dyDescent="0.2">
      <c r="B177" t="str">
        <f>Vars!B332</f>
        <v>Rwanda</v>
      </c>
    </row>
    <row r="178" spans="2:2" ht="15.5" hidden="1" customHeight="1" x14ac:dyDescent="0.2">
      <c r="B178" t="str">
        <f>Vars!B333</f>
        <v>Saint Kitts and Nevis</v>
      </c>
    </row>
    <row r="179" spans="2:2" ht="15.5" hidden="1" customHeight="1" x14ac:dyDescent="0.2">
      <c r="B179" t="str">
        <f>Vars!B334</f>
        <v>Saint Lucia</v>
      </c>
    </row>
    <row r="180" spans="2:2" ht="15.5" hidden="1" customHeight="1" x14ac:dyDescent="0.2">
      <c r="B180" t="str">
        <f>Vars!B335</f>
        <v>Saint Vincent and the Grenadines</v>
      </c>
    </row>
    <row r="181" spans="2:2" ht="15.5" hidden="1" customHeight="1" x14ac:dyDescent="0.2">
      <c r="B181" t="str">
        <f>Vars!B336</f>
        <v>Samoa</v>
      </c>
    </row>
    <row r="182" spans="2:2" ht="15.5" hidden="1" customHeight="1" x14ac:dyDescent="0.2">
      <c r="B182" t="str">
        <f>Vars!B337</f>
        <v>San Marino</v>
      </c>
    </row>
    <row r="183" spans="2:2" ht="15.5" hidden="1" customHeight="1" x14ac:dyDescent="0.2">
      <c r="B183" t="str">
        <f>Vars!B338</f>
        <v>Sao Tome and Principe</v>
      </c>
    </row>
    <row r="184" spans="2:2" ht="15.5" hidden="1" customHeight="1" x14ac:dyDescent="0.2">
      <c r="B184" t="str">
        <f>Vars!B339</f>
        <v>Saudi Arabia</v>
      </c>
    </row>
    <row r="185" spans="2:2" ht="15.5" hidden="1" customHeight="1" x14ac:dyDescent="0.2">
      <c r="B185" t="str">
        <f>Vars!B340</f>
        <v>Senegal</v>
      </c>
    </row>
    <row r="186" spans="2:2" ht="15.5" hidden="1" customHeight="1" x14ac:dyDescent="0.2">
      <c r="B186" t="str">
        <f>Vars!B341</f>
        <v>Serbia</v>
      </c>
    </row>
    <row r="187" spans="2:2" ht="15.5" hidden="1" customHeight="1" x14ac:dyDescent="0.2">
      <c r="B187" t="str">
        <f>Vars!B342</f>
        <v>Seychelles</v>
      </c>
    </row>
    <row r="188" spans="2:2" ht="15.5" hidden="1" customHeight="1" x14ac:dyDescent="0.2">
      <c r="B188" t="str">
        <f>Vars!B343</f>
        <v>Sierra Leone</v>
      </c>
    </row>
    <row r="189" spans="2:2" ht="15.5" hidden="1" customHeight="1" x14ac:dyDescent="0.2">
      <c r="B189" t="str">
        <f>Vars!B344</f>
        <v>Singapor</v>
      </c>
    </row>
    <row r="190" spans="2:2" ht="15.5" hidden="1" customHeight="1" x14ac:dyDescent="0.2">
      <c r="B190" t="str">
        <f>Vars!B345</f>
        <v>Singapore</v>
      </c>
    </row>
    <row r="191" spans="2:2" ht="15.5" hidden="1" customHeight="1" x14ac:dyDescent="0.2">
      <c r="B191" t="str">
        <f>Vars!B346</f>
        <v>Slovakia</v>
      </c>
    </row>
    <row r="192" spans="2:2" ht="15.5" hidden="1" customHeight="1" x14ac:dyDescent="0.2">
      <c r="B192" t="str">
        <f>Vars!B347</f>
        <v>Slovenia</v>
      </c>
    </row>
    <row r="193" spans="2:2" ht="15.5" hidden="1" customHeight="1" x14ac:dyDescent="0.2">
      <c r="B193" t="str">
        <f>Vars!B348</f>
        <v>Solomon Islands</v>
      </c>
    </row>
    <row r="194" spans="2:2" ht="15.5" hidden="1" customHeight="1" x14ac:dyDescent="0.2">
      <c r="B194" t="str">
        <f>Vars!B349</f>
        <v>Somalia</v>
      </c>
    </row>
    <row r="195" spans="2:2" ht="15.5" hidden="1" customHeight="1" x14ac:dyDescent="0.2">
      <c r="B195" t="str">
        <f>Vars!B350</f>
        <v>South Africa</v>
      </c>
    </row>
    <row r="196" spans="2:2" ht="15.5" hidden="1" customHeight="1" x14ac:dyDescent="0.2">
      <c r="B196" t="str">
        <f>Vars!B351</f>
        <v>South Korea</v>
      </c>
    </row>
    <row r="197" spans="2:2" ht="15.5" hidden="1" customHeight="1" x14ac:dyDescent="0.2">
      <c r="B197" t="str">
        <f>Vars!B352</f>
        <v>South Sudan</v>
      </c>
    </row>
    <row r="198" spans="2:2" ht="15.5" hidden="1" customHeight="1" x14ac:dyDescent="0.2">
      <c r="B198" t="str">
        <f>Vars!B353</f>
        <v>Spain</v>
      </c>
    </row>
    <row r="199" spans="2:2" ht="15.5" hidden="1" customHeight="1" x14ac:dyDescent="0.2">
      <c r="B199" t="str">
        <f>Vars!B354</f>
        <v>Sri Lanka</v>
      </c>
    </row>
    <row r="200" spans="2:2" ht="15.5" hidden="1" customHeight="1" x14ac:dyDescent="0.2">
      <c r="B200" t="str">
        <f>Vars!B355</f>
        <v>Sudan</v>
      </c>
    </row>
    <row r="201" spans="2:2" ht="15.5" hidden="1" customHeight="1" x14ac:dyDescent="0.2">
      <c r="B201" t="str">
        <f>Vars!B356</f>
        <v>Suriname</v>
      </c>
    </row>
    <row r="202" spans="2:2" ht="15.5" hidden="1" customHeight="1" x14ac:dyDescent="0.2">
      <c r="B202" t="str">
        <f>Vars!B357</f>
        <v>Swaziland</v>
      </c>
    </row>
    <row r="203" spans="2:2" ht="15.5" hidden="1" customHeight="1" x14ac:dyDescent="0.2">
      <c r="B203" t="str">
        <f>Vars!B358</f>
        <v>Sweden</v>
      </c>
    </row>
    <row r="204" spans="2:2" ht="15.5" hidden="1" customHeight="1" x14ac:dyDescent="0.2">
      <c r="B204" t="str">
        <f>Vars!B359</f>
        <v>Switzerland</v>
      </c>
    </row>
    <row r="205" spans="2:2" ht="15.5" hidden="1" customHeight="1" x14ac:dyDescent="0.2">
      <c r="B205" t="str">
        <f>Vars!B360</f>
        <v>Syria</v>
      </c>
    </row>
    <row r="206" spans="2:2" ht="15.5" hidden="1" customHeight="1" x14ac:dyDescent="0.2">
      <c r="B206" t="str">
        <f>Vars!B361</f>
        <v>Taiwan</v>
      </c>
    </row>
    <row r="207" spans="2:2" ht="15.5" hidden="1" customHeight="1" x14ac:dyDescent="0.2">
      <c r="B207" t="str">
        <f>Vars!B362</f>
        <v>Tajikistan</v>
      </c>
    </row>
    <row r="208" spans="2:2" ht="15.5" hidden="1" customHeight="1" x14ac:dyDescent="0.2">
      <c r="B208" t="str">
        <f>Vars!B363</f>
        <v>Tanzania</v>
      </c>
    </row>
    <row r="209" spans="2:2" ht="15.5" hidden="1" customHeight="1" x14ac:dyDescent="0.2">
      <c r="B209" t="str">
        <f>Vars!B364</f>
        <v>Thailand</v>
      </c>
    </row>
    <row r="210" spans="2:2" ht="15.5" hidden="1" customHeight="1" x14ac:dyDescent="0.2">
      <c r="B210" t="str">
        <f>Vars!B365</f>
        <v>Togo</v>
      </c>
    </row>
    <row r="211" spans="2:2" ht="15.5" hidden="1" customHeight="1" x14ac:dyDescent="0.2">
      <c r="B211" t="str">
        <f>Vars!B366</f>
        <v>Tonga</v>
      </c>
    </row>
    <row r="212" spans="2:2" ht="15.5" hidden="1" customHeight="1" x14ac:dyDescent="0.2">
      <c r="B212" t="str">
        <f>Vars!B367</f>
        <v>Trinidad and Tobago</v>
      </c>
    </row>
    <row r="213" spans="2:2" ht="15.5" hidden="1" customHeight="1" x14ac:dyDescent="0.2">
      <c r="B213" t="str">
        <f>Vars!B368</f>
        <v>Tunisia</v>
      </c>
    </row>
    <row r="214" spans="2:2" ht="15.5" hidden="1" customHeight="1" x14ac:dyDescent="0.2">
      <c r="B214" t="str">
        <f>Vars!B369</f>
        <v>Turkey</v>
      </c>
    </row>
    <row r="215" spans="2:2" ht="15.5" hidden="1" customHeight="1" x14ac:dyDescent="0.2">
      <c r="B215" t="str">
        <f>Vars!B370</f>
        <v>Turkmenistan</v>
      </c>
    </row>
    <row r="216" spans="2:2" ht="15.5" hidden="1" customHeight="1" x14ac:dyDescent="0.2">
      <c r="B216" t="str">
        <f>Vars!B371</f>
        <v>Tuvalu</v>
      </c>
    </row>
    <row r="217" spans="2:2" ht="15.5" hidden="1" customHeight="1" x14ac:dyDescent="0.2">
      <c r="B217" t="str">
        <f>Vars!B372</f>
        <v>Uganda</v>
      </c>
    </row>
    <row r="218" spans="2:2" ht="15.5" hidden="1" customHeight="1" x14ac:dyDescent="0.2">
      <c r="B218" t="str">
        <f>Vars!B373</f>
        <v>UK</v>
      </c>
    </row>
    <row r="219" spans="2:2" ht="15.5" hidden="1" customHeight="1" x14ac:dyDescent="0.2">
      <c r="B219" t="str">
        <f>Vars!B374</f>
        <v>Ukraine</v>
      </c>
    </row>
    <row r="220" spans="2:2" ht="15.5" hidden="1" customHeight="1" x14ac:dyDescent="0.2">
      <c r="B220" t="str">
        <f>Vars!B375</f>
        <v>United Arab Emirates</v>
      </c>
    </row>
    <row r="221" spans="2:2" ht="15.5" hidden="1" customHeight="1" x14ac:dyDescent="0.2">
      <c r="B221" t="str">
        <f>Vars!B376</f>
        <v>United Kingdom</v>
      </c>
    </row>
    <row r="222" spans="2:2" ht="15.5" hidden="1" customHeight="1" x14ac:dyDescent="0.2">
      <c r="B222" t="str">
        <f>Vars!B377</f>
        <v>United States</v>
      </c>
    </row>
    <row r="223" spans="2:2" ht="15.5" hidden="1" customHeight="1" x14ac:dyDescent="0.2">
      <c r="B223" t="str">
        <f>Vars!B378</f>
        <v>Uruguay</v>
      </c>
    </row>
    <row r="224" spans="2:2" ht="15.5" hidden="1" customHeight="1" x14ac:dyDescent="0.2">
      <c r="B224" t="str">
        <f>Vars!B379</f>
        <v>USA</v>
      </c>
    </row>
    <row r="225" spans="2:2" ht="15.5" hidden="1" customHeight="1" x14ac:dyDescent="0.2">
      <c r="B225" t="str">
        <f>Vars!B380</f>
        <v>USA (Alaska)</v>
      </c>
    </row>
    <row r="226" spans="2:2" ht="15.5" hidden="1" customHeight="1" x14ac:dyDescent="0.2">
      <c r="B226" t="str">
        <f>Vars!B381</f>
        <v>USA (Hawaii)</v>
      </c>
    </row>
    <row r="227" spans="2:2" ht="15.5" hidden="1" customHeight="1" x14ac:dyDescent="0.2">
      <c r="B227" t="str">
        <f>Vars!B382</f>
        <v>Uzbekistan</v>
      </c>
    </row>
    <row r="228" spans="2:2" ht="15.5" hidden="1" customHeight="1" x14ac:dyDescent="0.2">
      <c r="B228" t="str">
        <f>Vars!B383</f>
        <v>Vanuatu</v>
      </c>
    </row>
    <row r="229" spans="2:2" ht="15.5" hidden="1" customHeight="1" x14ac:dyDescent="0.2">
      <c r="B229" t="str">
        <f>Vars!B384</f>
        <v>Vatican City</v>
      </c>
    </row>
    <row r="230" spans="2:2" ht="15.5" hidden="1" customHeight="1" x14ac:dyDescent="0.2">
      <c r="B230" t="str">
        <f>Vars!B385</f>
        <v>Venezuela</v>
      </c>
    </row>
    <row r="231" spans="2:2" ht="15.5" hidden="1" customHeight="1" x14ac:dyDescent="0.2">
      <c r="B231" t="str">
        <f>Vars!B386</f>
        <v>Vietnam</v>
      </c>
    </row>
    <row r="232" spans="2:2" ht="15.5" hidden="1" customHeight="1" x14ac:dyDescent="0.2">
      <c r="B232" t="str">
        <f>Vars!B387</f>
        <v>Yemen</v>
      </c>
    </row>
    <row r="233" spans="2:2" ht="15.5" hidden="1" customHeight="1" x14ac:dyDescent="0.2">
      <c r="B233" t="str">
        <f>Vars!B388</f>
        <v>Zambia</v>
      </c>
    </row>
    <row r="234" spans="2:2" ht="15.5" hidden="1" customHeight="1" x14ac:dyDescent="0.2">
      <c r="B234" t="str">
        <f>Vars!B389</f>
        <v>Zimbabwe</v>
      </c>
    </row>
    <row r="235" spans="2:2" ht="15.5" hidden="1" customHeight="1" x14ac:dyDescent="0.2">
      <c r="B235">
        <f>Vars!B390</f>
        <v>0</v>
      </c>
    </row>
    <row r="236" spans="2:2" ht="15.5" hidden="1" customHeight="1" x14ac:dyDescent="0.2">
      <c r="B236">
        <f>Vars!B391</f>
        <v>0</v>
      </c>
    </row>
    <row r="237" spans="2:2" ht="15.5" hidden="1" customHeight="1" x14ac:dyDescent="0.2">
      <c r="B237" t="e">
        <f>Vars!#REF!</f>
        <v>#REF!</v>
      </c>
    </row>
    <row r="238" spans="2:2" ht="15.5" hidden="1" customHeight="1" x14ac:dyDescent="0.2">
      <c r="B238" t="e">
        <f>Vars!#REF!</f>
        <v>#REF!</v>
      </c>
    </row>
  </sheetData>
  <sheetProtection algorithmName="SHA-512" hashValue="gqKbkVVr+ul4ZPtboDpY9smH+4akYHWSS+Zm+mqtbA66k1TbmtYYW54gidV/tCrxm7WYUQIrzo1JmmgCTNFJfw==" saltValue="siR6A7Nb9PiWTTCI0JTBYA==" spinCount="100000" sheet="1" scenarios="1" selectLockedCells="1"/>
  <sortState xmlns:xlrd2="http://schemas.microsoft.com/office/spreadsheetml/2017/richdata2" ref="B30:B78">
    <sortCondition ref="B30:B78"/>
  </sortState>
  <mergeCells count="27">
    <mergeCell ref="L16:P16"/>
    <mergeCell ref="B11:F11"/>
    <mergeCell ref="B12:F12"/>
    <mergeCell ref="B13:F13"/>
    <mergeCell ref="B14:F14"/>
    <mergeCell ref="B15:F15"/>
    <mergeCell ref="B16:F16"/>
    <mergeCell ref="L11:P11"/>
    <mergeCell ref="L12:P12"/>
    <mergeCell ref="L13:P13"/>
    <mergeCell ref="L14:P14"/>
    <mergeCell ref="L15:P15"/>
    <mergeCell ref="A3:R3"/>
    <mergeCell ref="A4:R4"/>
    <mergeCell ref="B10:F10"/>
    <mergeCell ref="C9:E9"/>
    <mergeCell ref="M9:O9"/>
    <mergeCell ref="L10:P10"/>
    <mergeCell ref="B6:E6"/>
    <mergeCell ref="F6:R6"/>
    <mergeCell ref="B26:F26"/>
    <mergeCell ref="B27:F27"/>
    <mergeCell ref="C21:E21"/>
    <mergeCell ref="B22:F22"/>
    <mergeCell ref="B23:F23"/>
    <mergeCell ref="B24:F24"/>
    <mergeCell ref="B25:F25"/>
  </mergeCells>
  <conditionalFormatting sqref="R9 P9 L9:L16 R14">
    <cfRule type="expression" dxfId="140" priority="5">
      <formula>IF(Checkbox_SameAsBillTo=TRUE,1,0)</formula>
    </cfRule>
  </conditionalFormatting>
  <conditionalFormatting sqref="R15">
    <cfRule type="expression" dxfId="139" priority="1">
      <formula>IF(Checkbox_SameAsBillTo=TRUE,1,0)</formula>
    </cfRule>
  </conditionalFormatting>
  <dataValidations count="1">
    <dataValidation type="list" showInputMessage="1" errorTitle="Country" error="Choose a country with the dropdown button on the right. If you cannot find it, choose &quot;Other (Not listed here)&quot; instead." promptTitle="Country" prompt="Start typing your country, then click the arrow on the right to choose it." sqref="B14:F14" xr:uid="{95E229BC-162A-4CB0-9872-9B54547503E5}">
      <formula1>SHIP_CountryFiltered</formula1>
    </dataValidation>
  </dataValidations>
  <pageMargins left="0.7" right="0.7" top="0.75" bottom="0.75" header="0.3" footer="0.3"/>
  <pageSetup scale="40"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7282" r:id="rId4" name="Check Box SameAsBillTo">
              <controlPr defaultSize="0" autoFill="0" autoLine="0" autoPict="0">
                <anchor moveWithCells="1">
                  <from>
                    <xdr:col>13</xdr:col>
                    <xdr:colOff>177800</xdr:colOff>
                    <xdr:row>7</xdr:row>
                    <xdr:rowOff>25400</xdr:rowOff>
                  </from>
                  <to>
                    <xdr:col>15</xdr:col>
                    <xdr:colOff>1117600</xdr:colOff>
                    <xdr:row>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tint="0.34998626667073579"/>
  </sheetPr>
  <dimension ref="A1:AJ116"/>
  <sheetViews>
    <sheetView showGridLines="0" tabSelected="1" zoomScale="140" zoomScaleNormal="140" zoomScaleSheetLayoutView="100" workbookViewId="0"/>
  </sheetViews>
  <sheetFormatPr baseColWidth="10" defaultColWidth="8.6640625" defaultRowHeight="16" x14ac:dyDescent="0.2"/>
  <cols>
    <col min="1" max="1" width="0.6640625" style="51" customWidth="1"/>
    <col min="2" max="3" width="3.5" style="51" customWidth="1"/>
    <col min="4" max="4" width="7.6640625" style="51" customWidth="1"/>
    <col min="5" max="5" width="3.5" style="51" customWidth="1"/>
    <col min="6" max="6" width="11.1640625" style="51" customWidth="1"/>
    <col min="7" max="7" width="1.1640625" style="51" customWidth="1"/>
    <col min="8" max="8" width="3.5" style="51" customWidth="1"/>
    <col min="9" max="9" width="11.1640625" style="51" customWidth="1"/>
    <col min="10" max="10" width="3.5" style="51" customWidth="1"/>
    <col min="11" max="11" width="11.1640625" style="51" customWidth="1"/>
    <col min="12" max="12" width="1.1640625" style="51" customWidth="1"/>
    <col min="13" max="15" width="5.1640625" style="51" customWidth="1"/>
    <col min="16" max="16" width="7.5" style="51" customWidth="1"/>
    <col min="17" max="17" width="9.5" style="51" customWidth="1"/>
    <col min="18" max="19" width="0.6640625" customWidth="1"/>
    <col min="20" max="21" width="3.5" customWidth="1"/>
    <col min="22" max="22" width="7.6640625" customWidth="1"/>
    <col min="23" max="23" width="3.5" customWidth="1"/>
    <col min="24" max="24" width="11.1640625" customWidth="1"/>
    <col min="25" max="25" width="1.1640625" customWidth="1"/>
    <col min="26" max="26" width="3.5" customWidth="1"/>
    <col min="27" max="27" width="11.1640625" customWidth="1"/>
    <col min="28" max="28" width="3.5" customWidth="1"/>
    <col min="29" max="29" width="11.1640625" customWidth="1"/>
    <col min="30" max="30" width="1.1640625" customWidth="1"/>
    <col min="31" max="33" width="5.1640625" customWidth="1"/>
    <col min="34" max="34" width="7.5" customWidth="1"/>
    <col min="35" max="35" width="9.5" customWidth="1"/>
    <col min="36" max="36" width="0.6640625" customWidth="1"/>
  </cols>
  <sheetData>
    <row r="1" spans="1:35" ht="21" customHeight="1" x14ac:dyDescent="0.2">
      <c r="M1" s="86" t="str">
        <f>IF(Francais,"Soumission #","Quote #")</f>
        <v>Quote #</v>
      </c>
      <c r="N1" s="758" t="str">
        <f>IF(Francais,"Envoyez-nous ce fichier (.xls) pour validation","Email this quote (the .xls file) to validate it")</f>
        <v>Email this quote (the .xls file) to validate it</v>
      </c>
      <c r="O1" s="758"/>
      <c r="P1" s="758"/>
      <c r="Q1" s="758"/>
      <c r="S1" s="51"/>
      <c r="T1" s="51"/>
      <c r="U1" s="51"/>
      <c r="V1" s="51"/>
      <c r="W1" s="51"/>
      <c r="X1" s="51"/>
      <c r="Y1" s="51"/>
      <c r="Z1" s="51"/>
      <c r="AA1" s="51"/>
      <c r="AB1" s="51"/>
      <c r="AC1" s="51"/>
      <c r="AD1" s="51"/>
      <c r="AE1" s="86" t="str">
        <f>M1</f>
        <v>Quote #</v>
      </c>
      <c r="AF1" s="758" t="str">
        <f>IF(AND(QUOTE_Split_SoftwareHardware,QUOTE_InternetDownload),"",N1)</f>
        <v>Email this quote (the .xls file) to validate it</v>
      </c>
      <c r="AG1" s="758"/>
      <c r="AH1" s="758"/>
      <c r="AI1" s="758"/>
    </row>
    <row r="2" spans="1:35" ht="12" customHeight="1" x14ac:dyDescent="0.2">
      <c r="L2" s="752" t="s">
        <v>18</v>
      </c>
      <c r="M2" s="752"/>
      <c r="N2" s="752"/>
      <c r="O2" s="752"/>
      <c r="P2" s="744" t="str">
        <f>TEXT("2025-02-10",IF(Francais,"[$-0C0C]d mmmm yyyy","[$-1009]mmmm d, yyyy"))</f>
        <v>February 10, 2025</v>
      </c>
      <c r="Q2" s="744"/>
      <c r="S2" s="51"/>
      <c r="T2" s="51"/>
      <c r="U2" s="51"/>
      <c r="V2" s="51"/>
      <c r="W2" s="51"/>
      <c r="X2" s="51"/>
      <c r="Y2" s="51"/>
      <c r="Z2" s="51"/>
      <c r="AA2" s="51"/>
      <c r="AB2" s="51"/>
      <c r="AC2" s="51"/>
      <c r="AD2" s="752" t="s">
        <v>18</v>
      </c>
      <c r="AE2" s="752"/>
      <c r="AF2" s="752"/>
      <c r="AG2" s="752"/>
      <c r="AH2" s="745" t="str">
        <f>P2</f>
        <v>February 10, 2025</v>
      </c>
      <c r="AI2" s="745"/>
    </row>
    <row r="3" spans="1:35" ht="12" customHeight="1" x14ac:dyDescent="0.2">
      <c r="B3" s="58"/>
      <c r="C3" s="58"/>
      <c r="I3" s="443" t="str">
        <f>IF(Distributeurs_Rabais,IF(Francais,"Prix","Distributor"),"")</f>
        <v/>
      </c>
      <c r="L3" s="752" t="str">
        <f>IF(Francais,"Date d'expiration","Expiration date")</f>
        <v>Expiration date</v>
      </c>
      <c r="M3" s="752"/>
      <c r="N3" s="752"/>
      <c r="O3" s="752"/>
      <c r="P3" s="745" t="s">
        <v>788</v>
      </c>
      <c r="Q3" s="745"/>
      <c r="S3" s="51"/>
      <c r="T3" s="58"/>
      <c r="U3" s="58"/>
      <c r="V3" s="51"/>
      <c r="W3" s="51"/>
      <c r="X3" s="51"/>
      <c r="Y3" s="51"/>
      <c r="Z3" s="51"/>
      <c r="AA3" s="443" t="str">
        <f>IF(Distributeurs_Rabais,IF(Francais,"Prix","Distributor"),"")</f>
        <v/>
      </c>
      <c r="AB3" s="51"/>
      <c r="AC3" s="51"/>
      <c r="AD3" s="752" t="str">
        <f>IF(Francais,"Date d'expiration","Expiration date")</f>
        <v>Expiration date</v>
      </c>
      <c r="AE3" s="752"/>
      <c r="AF3" s="752"/>
      <c r="AG3" s="752"/>
      <c r="AH3" s="745" t="str">
        <f>P3</f>
        <v>May 31, 2025</v>
      </c>
      <c r="AI3" s="745"/>
    </row>
    <row r="4" spans="1:35" ht="12" customHeight="1" x14ac:dyDescent="0.2">
      <c r="B4" s="59"/>
      <c r="C4" s="59"/>
      <c r="I4" s="443" t="str">
        <f>IF(Distributeurs_Rabais,IF(Francais,"Distributeur","Prices"),"")</f>
        <v/>
      </c>
      <c r="L4" s="752" t="str">
        <f>IF(Francais,"Devise","Currency")</f>
        <v>Currency</v>
      </c>
      <c r="M4" s="752"/>
      <c r="N4" s="752"/>
      <c r="O4" s="752"/>
      <c r="P4" s="760" t="str">
        <f>IF(OR(IndexZone=3,IndexZone=8,IndexZone=10),"USD",IF(IndexZone=5,"Euros",IF(Francais,"Dollars Canadiens","Canadian Dollars")))</f>
        <v>Euros</v>
      </c>
      <c r="Q4" s="760"/>
      <c r="S4" s="51"/>
      <c r="T4" s="59"/>
      <c r="U4" s="59"/>
      <c r="V4" s="51"/>
      <c r="W4" s="51"/>
      <c r="X4" s="51"/>
      <c r="Y4" s="51"/>
      <c r="Z4" s="51"/>
      <c r="AA4" s="443" t="str">
        <f>IF(Distributeurs_Rabais,IF(Francais,"Distributeur","Prices"),"")</f>
        <v/>
      </c>
      <c r="AB4" s="51"/>
      <c r="AC4" s="51"/>
      <c r="AD4" s="752" t="str">
        <f>IF(Francais,"Devise","Currency")</f>
        <v>Currency</v>
      </c>
      <c r="AE4" s="752"/>
      <c r="AF4" s="752"/>
      <c r="AG4" s="752"/>
      <c r="AH4" s="760" t="str">
        <f>P4</f>
        <v>Euros</v>
      </c>
      <c r="AI4" s="760"/>
    </row>
    <row r="5" spans="1:35" ht="12" customHeight="1" x14ac:dyDescent="0.2">
      <c r="B5" s="59"/>
      <c r="C5" s="59"/>
      <c r="H5"/>
      <c r="I5"/>
      <c r="J5" s="741" t="str">
        <f>REPT(" ",4) &amp; IF(NOT(Francais),"Bureaucracy","Bureaucratie")</f>
        <v xml:space="preserve">    Bureaucracy</v>
      </c>
      <c r="K5" s="741"/>
      <c r="L5" s="752" t="str">
        <f>IF(Francais,"Terme","Payment Terms")</f>
        <v>Payment Terms</v>
      </c>
      <c r="M5" s="752"/>
      <c r="N5" s="752"/>
      <c r="O5" s="752"/>
      <c r="P5" s="760" t="str">
        <f>IF(Francais,"Payable d'avance","in ADVANCE")</f>
        <v>in ADVANCE</v>
      </c>
      <c r="Q5" s="760"/>
      <c r="S5" s="51"/>
      <c r="T5" s="59"/>
      <c r="U5" s="59"/>
      <c r="V5" s="51"/>
      <c r="W5" s="51"/>
      <c r="X5" s="51"/>
      <c r="Y5" s="51"/>
      <c r="Z5" s="51"/>
      <c r="AB5" s="51"/>
      <c r="AC5" s="51"/>
      <c r="AD5" s="752" t="str">
        <f>IF(Francais,"Terme","Payment Terms")</f>
        <v>Payment Terms</v>
      </c>
      <c r="AE5" s="752"/>
      <c r="AF5" s="752"/>
      <c r="AG5" s="752"/>
      <c r="AH5" s="760" t="str">
        <f>P5</f>
        <v>in ADVANCE</v>
      </c>
      <c r="AI5" s="760"/>
    </row>
    <row r="6" spans="1:35" ht="12" customHeight="1" x14ac:dyDescent="0.2">
      <c r="H6"/>
      <c r="I6"/>
      <c r="J6"/>
      <c r="K6"/>
      <c r="L6" s="752" t="str">
        <f>IF(Francais,"# Client","Customer #")</f>
        <v>Customer #</v>
      </c>
      <c r="M6" s="752"/>
      <c r="N6" s="752"/>
      <c r="O6" s="752"/>
      <c r="P6" s="761" t="str">
        <f>IF(CustomerNumber="","",CustomerNumber)</f>
        <v/>
      </c>
      <c r="Q6" s="761"/>
      <c r="S6" s="51"/>
      <c r="T6" s="51"/>
      <c r="U6" s="51"/>
      <c r="V6" s="51"/>
      <c r="W6" s="51"/>
      <c r="X6" s="51"/>
      <c r="Y6" s="51"/>
      <c r="Z6" s="51"/>
      <c r="AA6" s="51"/>
      <c r="AB6" s="51"/>
      <c r="AC6" s="51"/>
      <c r="AD6" s="752" t="str">
        <f>IF(Francais,"# Client","Customer #")</f>
        <v>Customer #</v>
      </c>
      <c r="AE6" s="752"/>
      <c r="AF6" s="752"/>
      <c r="AG6" s="752"/>
      <c r="AH6" s="761" t="str">
        <f>IF(ISBLANK(P6),"",P6)</f>
        <v/>
      </c>
      <c r="AI6" s="761"/>
    </row>
    <row r="7" spans="1:35" ht="12" customHeight="1" x14ac:dyDescent="0.2">
      <c r="B7" s="60"/>
      <c r="C7" s="60"/>
      <c r="H7" s="741" t="str">
        <f>REPT(" ",4) &amp; IF(NOT(Francais),"Split in 2 Invoices","Séparer en 2 factures")</f>
        <v xml:space="preserve">    Split in 2 Invoices</v>
      </c>
      <c r="I7" s="741"/>
      <c r="J7" s="741" t="str">
        <f>REPT(" ",4) &amp; IF(NOT(Francais),"Internet Download","Téléchargement")</f>
        <v xml:space="preserve">    Internet Download</v>
      </c>
      <c r="K7" s="741"/>
      <c r="L7" s="752"/>
      <c r="M7" s="752"/>
      <c r="N7" s="752"/>
      <c r="O7" s="752"/>
      <c r="P7" s="761"/>
      <c r="Q7" s="761"/>
      <c r="S7" s="51"/>
      <c r="T7" s="60"/>
      <c r="U7" s="60"/>
      <c r="V7" s="51"/>
      <c r="W7" s="51"/>
      <c r="X7" s="51"/>
      <c r="Y7" s="51"/>
      <c r="Z7" s="51"/>
      <c r="AA7" s="51"/>
      <c r="AB7" s="51"/>
      <c r="AC7" s="51"/>
      <c r="AD7" s="752"/>
      <c r="AE7" s="752"/>
      <c r="AF7" s="752"/>
      <c r="AG7" s="752"/>
      <c r="AH7" s="761" t="str">
        <f>IF(ISBLANK(P7),"",P7)</f>
        <v/>
      </c>
      <c r="AI7" s="761"/>
    </row>
    <row r="8" spans="1:35" ht="3.5" customHeight="1" x14ac:dyDescent="0.2">
      <c r="S8" s="51"/>
      <c r="T8" s="51"/>
      <c r="U8" s="51"/>
      <c r="V8" s="51"/>
      <c r="W8" s="51"/>
      <c r="X8" s="51"/>
      <c r="Y8" s="51"/>
      <c r="Z8" s="51"/>
      <c r="AA8" s="51"/>
      <c r="AB8" s="51"/>
      <c r="AC8" s="51"/>
      <c r="AD8" s="51"/>
      <c r="AE8" s="51"/>
      <c r="AF8" s="51"/>
      <c r="AG8" s="51"/>
      <c r="AH8" s="51"/>
      <c r="AI8" s="51"/>
    </row>
    <row r="9" spans="1:35" s="3" customFormat="1" ht="3.5" customHeight="1" x14ac:dyDescent="0.15">
      <c r="A9" s="61"/>
      <c r="B9" s="750" t="str">
        <f>IF(Francais," FACTURATION:"," BILL TO:")</f>
        <v xml:space="preserve"> BILL TO:</v>
      </c>
      <c r="C9" s="751"/>
      <c r="D9" s="751"/>
      <c r="E9" s="751"/>
      <c r="F9" s="751"/>
      <c r="G9" s="134"/>
      <c r="H9" s="751" t="str">
        <f>IF(Francais," LIVRAISON:"," SHIP TO:")</f>
        <v xml:space="preserve"> SHIP TO:</v>
      </c>
      <c r="I9" s="751"/>
      <c r="J9" s="751"/>
      <c r="K9" s="751"/>
      <c r="L9" s="127"/>
      <c r="M9" s="750" t="str">
        <f>IF(Francais," DÉTAILS D'EXPÉDITION:"," SHIPPING DETAILS:")</f>
        <v xml:space="preserve"> SHIPPING DETAILS:</v>
      </c>
      <c r="N9" s="751"/>
      <c r="O9" s="751"/>
      <c r="P9" s="751"/>
      <c r="Q9" s="751"/>
      <c r="S9" s="61"/>
      <c r="T9" s="750" t="str">
        <f>B9</f>
        <v xml:space="preserve"> BILL TO:</v>
      </c>
      <c r="U9" s="751"/>
      <c r="V9" s="751"/>
      <c r="W9" s="751"/>
      <c r="X9" s="751"/>
      <c r="Y9" s="134"/>
      <c r="Z9" s="751" t="str">
        <f>H9</f>
        <v xml:space="preserve"> SHIP TO:</v>
      </c>
      <c r="AA9" s="751"/>
      <c r="AB9" s="751"/>
      <c r="AC9" s="751"/>
      <c r="AD9" s="127"/>
      <c r="AE9" s="751" t="str">
        <f>M9</f>
        <v xml:space="preserve"> SHIPPING DETAILS:</v>
      </c>
      <c r="AF9" s="751"/>
      <c r="AG9" s="751"/>
      <c r="AH9" s="751"/>
      <c r="AI9" s="751"/>
    </row>
    <row r="10" spans="1:35" s="3" customFormat="1" x14ac:dyDescent="0.15">
      <c r="A10" s="61"/>
      <c r="B10" s="751"/>
      <c r="C10" s="751"/>
      <c r="D10" s="751"/>
      <c r="E10" s="751"/>
      <c r="F10" s="751"/>
      <c r="G10" s="134"/>
      <c r="H10" s="751"/>
      <c r="I10" s="751"/>
      <c r="J10" s="751"/>
      <c r="K10" s="751"/>
      <c r="L10" s="127"/>
      <c r="M10" s="751"/>
      <c r="N10" s="751"/>
      <c r="O10" s="751"/>
      <c r="P10" s="751"/>
      <c r="Q10" s="751"/>
      <c r="S10" s="61"/>
      <c r="T10" s="751"/>
      <c r="U10" s="751"/>
      <c r="V10" s="751"/>
      <c r="W10" s="751"/>
      <c r="X10" s="751"/>
      <c r="Y10" s="134"/>
      <c r="Z10" s="751"/>
      <c r="AA10" s="751"/>
      <c r="AB10" s="751"/>
      <c r="AC10" s="751"/>
      <c r="AD10" s="127"/>
      <c r="AE10" s="751"/>
      <c r="AF10" s="751"/>
      <c r="AG10" s="751"/>
      <c r="AH10" s="751"/>
      <c r="AI10" s="751"/>
    </row>
    <row r="11" spans="1:35" s="3" customFormat="1" ht="3.5" customHeight="1" x14ac:dyDescent="0.15">
      <c r="A11" s="61"/>
      <c r="B11" s="128"/>
      <c r="C11" s="128"/>
      <c r="D11" s="129"/>
      <c r="E11" s="129"/>
      <c r="F11" s="129"/>
      <c r="G11" s="134"/>
      <c r="H11" s="128"/>
      <c r="I11" s="127"/>
      <c r="J11" s="127"/>
      <c r="K11" s="127"/>
      <c r="L11" s="127"/>
      <c r="M11" s="128"/>
      <c r="N11" s="129"/>
      <c r="O11" s="129"/>
      <c r="P11" s="127"/>
      <c r="Q11" s="127"/>
      <c r="S11" s="61"/>
      <c r="T11" s="128"/>
      <c r="U11" s="128"/>
      <c r="V11" s="129"/>
      <c r="W11" s="129"/>
      <c r="X11" s="129"/>
      <c r="Y11" s="134"/>
      <c r="Z11" s="128"/>
      <c r="AA11" s="127"/>
      <c r="AB11" s="127"/>
      <c r="AC11" s="127"/>
      <c r="AD11" s="127"/>
      <c r="AE11" s="128"/>
      <c r="AF11" s="129"/>
      <c r="AG11" s="129"/>
      <c r="AH11" s="127"/>
      <c r="AI11" s="127"/>
    </row>
    <row r="12" spans="1:35" ht="11.25" customHeight="1" x14ac:dyDescent="0.2">
      <c r="B12" s="743" t="str">
        <f>IF(ISBLANK(Home!B10),"",Home!B10)</f>
        <v/>
      </c>
      <c r="C12" s="743"/>
      <c r="D12" s="743"/>
      <c r="E12" s="743"/>
      <c r="F12" s="743"/>
      <c r="G12" s="134"/>
      <c r="H12" s="743" t="str">
        <f>IF(ISBLANK(Home!L10),"",Home!L10)</f>
        <v/>
      </c>
      <c r="I12" s="743"/>
      <c r="J12" s="743"/>
      <c r="K12" s="743"/>
      <c r="L12" s="130"/>
      <c r="M12" s="743" t="str">
        <f>IF(Francais,"Transporteur","Ship via")</f>
        <v>Ship via</v>
      </c>
      <c r="N12" s="743"/>
      <c r="O12" s="743"/>
      <c r="P12" s="743" t="str">
        <f>IF(AND(QUOTE_Split_SoftwareHardware,QUOTE_InternetDownload),IF(Francais,"Téléchargement Internet","Internet Download"),"")</f>
        <v/>
      </c>
      <c r="Q12" s="743"/>
      <c r="S12" s="51"/>
      <c r="T12" s="743" t="str">
        <f t="shared" ref="T12:T17" si="0">B12</f>
        <v/>
      </c>
      <c r="U12" s="743"/>
      <c r="V12" s="743"/>
      <c r="W12" s="743"/>
      <c r="X12" s="743"/>
      <c r="Y12" s="134"/>
      <c r="Z12" s="743" t="str">
        <f t="shared" ref="Z12:Z17" si="1">H12</f>
        <v/>
      </c>
      <c r="AA12" s="743"/>
      <c r="AB12" s="743"/>
      <c r="AC12" s="743"/>
      <c r="AD12" s="130"/>
      <c r="AE12" s="743" t="str">
        <f t="shared" ref="AE12:AE17" si="2">M12</f>
        <v>Ship via</v>
      </c>
      <c r="AF12" s="743"/>
      <c r="AG12" s="743"/>
      <c r="AH12" s="743" t="str">
        <f>IF(AND(QUOTE_Split_SoftwareHardware,QUOTE_InternetDownload),IF(Francais,"Transporteur","Courier"),IF(ISBLANK(P12),"",P12))</f>
        <v/>
      </c>
      <c r="AI12" s="743"/>
    </row>
    <row r="13" spans="1:35" ht="11.25" customHeight="1" x14ac:dyDescent="0.2">
      <c r="B13" s="743" t="str">
        <f>IF(ISBLANK(Home!B11),"",Home!B11)</f>
        <v/>
      </c>
      <c r="C13" s="743"/>
      <c r="D13" s="743"/>
      <c r="E13" s="743"/>
      <c r="F13" s="743"/>
      <c r="G13" s="134"/>
      <c r="H13" s="743" t="str">
        <f>IF(ISBLANK(Home!L11),"",Home!L11)</f>
        <v/>
      </c>
      <c r="I13" s="743"/>
      <c r="J13" s="743"/>
      <c r="K13" s="743"/>
      <c r="L13" s="130"/>
      <c r="M13" s="743" t="s">
        <v>20</v>
      </c>
      <c r="N13" s="743"/>
      <c r="O13" s="743"/>
      <c r="P13" s="743"/>
      <c r="Q13" s="743"/>
      <c r="S13" s="51"/>
      <c r="T13" s="743" t="str">
        <f t="shared" si="0"/>
        <v/>
      </c>
      <c r="U13" s="743"/>
      <c r="V13" s="743"/>
      <c r="W13" s="743"/>
      <c r="X13" s="743"/>
      <c r="Y13" s="134"/>
      <c r="Z13" s="743" t="str">
        <f t="shared" si="1"/>
        <v/>
      </c>
      <c r="AA13" s="743"/>
      <c r="AB13" s="743"/>
      <c r="AC13" s="743"/>
      <c r="AD13" s="130"/>
      <c r="AE13" s="743" t="str">
        <f t="shared" si="2"/>
        <v>Incoterms</v>
      </c>
      <c r="AF13" s="743"/>
      <c r="AG13" s="743"/>
      <c r="AH13" s="743" t="str">
        <f t="shared" ref="AH13" si="3">IF(ISBLANK(P13),"",P13)</f>
        <v/>
      </c>
      <c r="AI13" s="743"/>
    </row>
    <row r="14" spans="1:35" ht="11" customHeight="1" x14ac:dyDescent="0.2">
      <c r="B14" s="743" t="str">
        <f>IF(ISBLANK(Home!B12),"",Home!B12)</f>
        <v/>
      </c>
      <c r="C14" s="743"/>
      <c r="D14" s="743"/>
      <c r="E14" s="743"/>
      <c r="F14" s="743"/>
      <c r="G14" s="134"/>
      <c r="H14" s="743" t="str">
        <f>IF(ISBLANK(Home!L12),"",Home!L12)</f>
        <v/>
      </c>
      <c r="I14" s="743"/>
      <c r="J14" s="743"/>
      <c r="K14" s="743"/>
      <c r="L14" s="130"/>
      <c r="M14" s="743" t="str">
        <f>IF(Francais,"Poids volumétrique (lb)","Billing WT (lbs)")</f>
        <v>Billing WT (lbs)</v>
      </c>
      <c r="N14" s="743"/>
      <c r="O14" s="743"/>
      <c r="P14" s="743">
        <f>IF(NOT(QUOTE_Split_SoftwareHardware),
TotalWeight,
0)</f>
        <v>0</v>
      </c>
      <c r="Q14" s="743"/>
      <c r="S14" s="51"/>
      <c r="T14" s="743" t="str">
        <f t="shared" si="0"/>
        <v/>
      </c>
      <c r="U14" s="743"/>
      <c r="V14" s="743"/>
      <c r="W14" s="743"/>
      <c r="X14" s="743"/>
      <c r="Y14" s="134"/>
      <c r="Z14" s="743" t="str">
        <f t="shared" si="1"/>
        <v/>
      </c>
      <c r="AA14" s="743"/>
      <c r="AB14" s="743"/>
      <c r="AC14" s="743"/>
      <c r="AD14" s="130"/>
      <c r="AE14" s="743" t="str">
        <f t="shared" si="2"/>
        <v>Billing WT (lbs)</v>
      </c>
      <c r="AF14" s="743"/>
      <c r="AG14" s="743"/>
      <c r="AH14" s="743">
        <f>IF(NOT(QUOTE_Split_SoftwareHardware),
IF(ISBLANK(P14),"",P14),
TotalWeight)</f>
        <v>0</v>
      </c>
      <c r="AI14" s="743"/>
    </row>
    <row r="15" spans="1:35" ht="11" customHeight="1" x14ac:dyDescent="0.2">
      <c r="B15" s="743" t="str">
        <f>HOME_City &amp; ", " &amp; HOME_Province &amp; " " &amp; HOME_Zip</f>
        <v xml:space="preserve">,  </v>
      </c>
      <c r="C15" s="743"/>
      <c r="D15" s="743"/>
      <c r="E15" s="743"/>
      <c r="F15" s="743"/>
      <c r="G15" s="134"/>
      <c r="H15" s="743" t="str">
        <f>HOME_City_Ship &amp; ", " &amp; HOME_Province_Ship &amp; " " &amp; HOME_Zip_Ship</f>
        <v xml:space="preserve">,  </v>
      </c>
      <c r="I15" s="743"/>
      <c r="J15" s="743"/>
      <c r="K15" s="743"/>
      <c r="L15" s="130"/>
      <c r="M15" s="743"/>
      <c r="N15" s="743"/>
      <c r="O15" s="743"/>
      <c r="P15" s="743"/>
      <c r="Q15" s="743"/>
      <c r="S15" s="51"/>
      <c r="T15" s="743" t="str">
        <f>B15</f>
        <v xml:space="preserve">,  </v>
      </c>
      <c r="U15" s="743"/>
      <c r="V15" s="743"/>
      <c r="W15" s="743"/>
      <c r="X15" s="743"/>
      <c r="Y15" s="134"/>
      <c r="Z15" s="743" t="str">
        <f>H15</f>
        <v xml:space="preserve">,  </v>
      </c>
      <c r="AA15" s="743"/>
      <c r="AB15" s="743"/>
      <c r="AC15" s="743"/>
      <c r="AD15" s="130"/>
      <c r="AE15" s="743"/>
      <c r="AF15" s="743"/>
      <c r="AG15" s="743"/>
      <c r="AH15" s="743"/>
      <c r="AI15" s="743"/>
    </row>
    <row r="16" spans="1:35" ht="11.25" customHeight="1" x14ac:dyDescent="0.2">
      <c r="B16" s="743" t="str">
        <f>IF(ISBLANK(Home!$B$14),"",Home!$B$14)</f>
        <v/>
      </c>
      <c r="C16" s="743"/>
      <c r="D16" s="743"/>
      <c r="E16" s="743"/>
      <c r="F16" s="743"/>
      <c r="G16" s="134"/>
      <c r="H16" s="743" t="str">
        <f>IF(ISBLANK(Home!L14),"",Home!L14)</f>
        <v/>
      </c>
      <c r="I16" s="743"/>
      <c r="J16" s="743"/>
      <c r="K16" s="743"/>
      <c r="L16" s="130"/>
      <c r="M16" s="743" t="str">
        <f>IF(Francais,"Nombre de colis","Total Package(s)")</f>
        <v>Total Package(s)</v>
      </c>
      <c r="N16" s="743"/>
      <c r="O16" s="743"/>
      <c r="P16" s="743">
        <f>IF(NOT(QUOTE_Split_SoftwareHardware),
TotalPackages,
IF(QUOTE_InternetDownload,0,
IF(N_Soft_Upd_Upg_Total&gt;0,INT(N_Soft_Upd_Upg_Total/6+1),0))
)</f>
        <v>0</v>
      </c>
      <c r="Q16" s="743"/>
      <c r="S16" s="51"/>
      <c r="T16" s="743" t="str">
        <f>B16</f>
        <v/>
      </c>
      <c r="U16" s="743"/>
      <c r="V16" s="743"/>
      <c r="W16" s="743"/>
      <c r="X16" s="743"/>
      <c r="Y16" s="134"/>
      <c r="Z16" s="743" t="str">
        <f>H16</f>
        <v/>
      </c>
      <c r="AA16" s="743"/>
      <c r="AB16" s="743"/>
      <c r="AC16" s="743"/>
      <c r="AD16" s="130"/>
      <c r="AE16" s="743" t="str">
        <f t="shared" si="2"/>
        <v>Total Package(s)</v>
      </c>
      <c r="AF16" s="743"/>
      <c r="AG16" s="743"/>
      <c r="AH16" s="743">
        <f>IF(NOT(QUOTE_Split_SoftwareHardware),
IF(ISBLANK(P16),"",P16),
TotalPackages)</f>
        <v>0</v>
      </c>
      <c r="AI16" s="743"/>
    </row>
    <row r="17" spans="1:35" ht="11.25" customHeight="1" x14ac:dyDescent="0.2">
      <c r="B17" s="754" t="str">
        <f>"Contact: "&amp;Home!B9&amp;" "&amp;Home!F9&amp;" "&amp;Home!H9</f>
        <v xml:space="preserve">Contact:   </v>
      </c>
      <c r="C17" s="754"/>
      <c r="D17" s="754"/>
      <c r="E17" s="754"/>
      <c r="F17" s="754"/>
      <c r="G17" s="137"/>
      <c r="H17" s="754" t="str">
        <f>"Contact: "&amp;Home!L9&amp;" "&amp;Home!P9&amp;" "&amp;Home!R9</f>
        <v xml:space="preserve">Contact:   </v>
      </c>
      <c r="I17" s="754"/>
      <c r="J17" s="754"/>
      <c r="K17" s="754"/>
      <c r="L17" s="130"/>
      <c r="M17" s="743" t="str">
        <f>IF(Francais,"Dimensions boîte (po)","Box Dimensions (in)")</f>
        <v>Box Dimensions (in)</v>
      </c>
      <c r="N17" s="743"/>
      <c r="O17" s="743"/>
      <c r="P17" s="753" t="str">
        <f>IF(NOT(QUOTE_Split_SoftwareHardware),
Vars!N86,
IF(QUOTE_InternetDownload,"",
IF(N_Soft_Upd_Upg_Total&gt;0,INT(N_Soft_Upd_Upg_Total/6+1)&amp;"*PAK",0))
)</f>
        <v/>
      </c>
      <c r="Q17" s="753"/>
      <c r="S17" s="51"/>
      <c r="T17" s="754" t="str">
        <f t="shared" si="0"/>
        <v xml:space="preserve">Contact:   </v>
      </c>
      <c r="U17" s="754"/>
      <c r="V17" s="754"/>
      <c r="W17" s="754"/>
      <c r="X17" s="754"/>
      <c r="Y17" s="137"/>
      <c r="Z17" s="754" t="str">
        <f t="shared" si="1"/>
        <v xml:space="preserve">Contact:   </v>
      </c>
      <c r="AA17" s="754"/>
      <c r="AB17" s="754"/>
      <c r="AC17" s="754"/>
      <c r="AD17" s="130"/>
      <c r="AE17" s="743" t="str">
        <f t="shared" si="2"/>
        <v>Box Dimensions (in)</v>
      </c>
      <c r="AF17" s="743"/>
      <c r="AG17" s="743"/>
      <c r="AH17" s="753" t="str">
        <f>IF(NOT(QUOTE_Split_SoftwareHardware),
IF(ISBLANK(P17),"",P17),Vars!N86)</f>
        <v/>
      </c>
      <c r="AI17" s="753"/>
    </row>
    <row r="18" spans="1:35" ht="11.25" customHeight="1" x14ac:dyDescent="0.2">
      <c r="B18" s="325" t="str">
        <f>IF(Francais,"Tél.","Tel.")</f>
        <v>Tel.</v>
      </c>
      <c r="C18" s="754" t="str">
        <f>IF(ISBLANK(Home!B15),"",Home!B15)</f>
        <v/>
      </c>
      <c r="D18" s="754"/>
      <c r="E18" s="754"/>
      <c r="F18" s="754"/>
      <c r="G18" s="137"/>
      <c r="H18" s="325" t="str">
        <f>IF(Francais,"Tél.","Tel.")</f>
        <v>Tel.</v>
      </c>
      <c r="I18" s="754" t="str">
        <f>IF(ISBLANK(Home!L15),"",Home!L15)</f>
        <v/>
      </c>
      <c r="J18" s="754"/>
      <c r="K18" s="754"/>
      <c r="L18" s="130"/>
      <c r="M18" s="130"/>
      <c r="N18" s="130"/>
      <c r="O18" s="130"/>
      <c r="P18" s="753"/>
      <c r="Q18" s="753"/>
      <c r="S18" s="51"/>
      <c r="T18" s="325" t="str">
        <f>IF(Francais,"Tél.","Tel.")</f>
        <v>Tel.</v>
      </c>
      <c r="U18" s="759" t="str">
        <f>C18</f>
        <v/>
      </c>
      <c r="V18" s="754"/>
      <c r="W18" s="754"/>
      <c r="X18" s="754"/>
      <c r="Y18" s="137"/>
      <c r="Z18" s="325" t="str">
        <f>IF(Francais,"Tél.","Tel.")</f>
        <v>Tel.</v>
      </c>
      <c r="AA18" s="754" t="str">
        <f>I18</f>
        <v/>
      </c>
      <c r="AB18" s="754"/>
      <c r="AC18" s="754"/>
      <c r="AD18" s="130"/>
      <c r="AE18" s="130"/>
      <c r="AF18" s="130"/>
      <c r="AG18" s="130"/>
      <c r="AH18" s="753"/>
      <c r="AI18" s="753"/>
    </row>
    <row r="19" spans="1:35" ht="11" customHeight="1" x14ac:dyDescent="0.2">
      <c r="B19" s="754"/>
      <c r="C19" s="754"/>
      <c r="D19" s="754"/>
      <c r="E19" s="754"/>
      <c r="F19" s="754"/>
      <c r="G19" s="137"/>
      <c r="H19" s="754" t="str">
        <f>IF(Francais,
"#Id Taxes / EORI",
"Tax Id / EORI #"
)</f>
        <v>Tax Id / EORI #</v>
      </c>
      <c r="I19" s="754"/>
      <c r="J19" s="746" t="str">
        <f>IF(ISBLANK(Home!B16),"",Home!B16)</f>
        <v/>
      </c>
      <c r="K19" s="746"/>
      <c r="L19" s="746"/>
      <c r="M19" s="746"/>
      <c r="N19" s="746"/>
      <c r="O19" s="746"/>
      <c r="P19" s="473"/>
      <c r="Q19" s="473"/>
      <c r="S19" s="51"/>
      <c r="T19" s="754"/>
      <c r="U19" s="754"/>
      <c r="V19" s="754" t="str">
        <f>IF(ISBLANK(D19),"",D19)</f>
        <v/>
      </c>
      <c r="W19" s="754"/>
      <c r="X19" s="754"/>
      <c r="Y19" s="137"/>
      <c r="Z19" s="754" t="str">
        <f>IF(Francais,
"#Id Taxes / EORI",
"Tax Id / EORI #"
)</f>
        <v>Tax Id / EORI #</v>
      </c>
      <c r="AA19" s="754"/>
      <c r="AB19" s="746" t="str">
        <f>IF(ISBLANK(J19),"",J19)</f>
        <v/>
      </c>
      <c r="AC19" s="746"/>
      <c r="AD19" s="325"/>
      <c r="AE19" s="325"/>
      <c r="AF19" s="325"/>
      <c r="AG19" s="130"/>
      <c r="AH19" s="474"/>
      <c r="AI19" s="474"/>
    </row>
    <row r="20" spans="1:35" ht="2.75" customHeight="1" x14ac:dyDescent="0.2">
      <c r="S20" s="51"/>
      <c r="T20" s="51"/>
      <c r="U20" s="51"/>
      <c r="V20" s="51"/>
      <c r="W20" s="51"/>
      <c r="X20" s="51"/>
      <c r="Y20" s="51"/>
      <c r="Z20" s="51"/>
      <c r="AA20" s="51"/>
      <c r="AB20" s="51"/>
      <c r="AC20" s="51"/>
      <c r="AD20" s="51"/>
      <c r="AE20" s="51"/>
      <c r="AF20" s="51"/>
      <c r="AG20" s="51"/>
      <c r="AH20" s="51"/>
      <c r="AI20" s="51"/>
    </row>
    <row r="21" spans="1:35" s="62" customFormat="1" ht="24" customHeight="1" x14ac:dyDescent="0.15">
      <c r="A21" s="94"/>
      <c r="B21" s="79" t="s">
        <v>38</v>
      </c>
      <c r="C21" s="80" t="str">
        <f>IF(Francais,"QTÉ","QTY")</f>
        <v>QTY</v>
      </c>
      <c r="D21" s="755" t="s">
        <v>22</v>
      </c>
      <c r="E21" s="755"/>
      <c r="F21" s="80"/>
      <c r="G21" s="80"/>
      <c r="H21" s="80"/>
      <c r="I21" s="80"/>
      <c r="J21" s="80"/>
      <c r="K21" s="80"/>
      <c r="L21" s="80"/>
      <c r="M21" s="80"/>
      <c r="N21" s="755" t="str">
        <f>IF(QUOTE_DetailedPrices,"DETAILED EXT. PRICE",IF(Francais,"CODE HARMONISÉ","HARMONIZED CODE"))</f>
        <v>HARMONIZED CODE</v>
      </c>
      <c r="O21" s="755"/>
      <c r="P21" s="81" t="str">
        <f>IF(Francais,"PRIX UNITAIRE","UNIT PRICE")</f>
        <v>UNIT PRICE</v>
      </c>
      <c r="Q21" s="81" t="str">
        <f>IF(Francais,"SOUS-TOTAL","EXTENDED PRICE")</f>
        <v>EXTENDED PRICE</v>
      </c>
      <c r="S21" s="94"/>
      <c r="T21" s="79" t="s">
        <v>38</v>
      </c>
      <c r="U21" s="80" t="str">
        <f>IF(Francais,"QTÉ","QTY")</f>
        <v>QTY</v>
      </c>
      <c r="V21" s="755" t="s">
        <v>22</v>
      </c>
      <c r="W21" s="755"/>
      <c r="X21" s="80"/>
      <c r="Y21" s="80"/>
      <c r="Z21" s="80"/>
      <c r="AA21" s="80"/>
      <c r="AB21" s="80"/>
      <c r="AC21" s="80"/>
      <c r="AD21" s="80"/>
      <c r="AE21" s="80"/>
      <c r="AF21" s="755" t="str">
        <f>IF(QUOTE_DetailedPrices,"DETAILED EXT. PRICE",IF(Francais,"CODE HARMONISÉ","HARMONIZED CODE"))</f>
        <v>HARMONIZED CODE</v>
      </c>
      <c r="AG21" s="755"/>
      <c r="AH21" s="81" t="str">
        <f>IF(Francais,"PRIX UNITAIRE","UNIT PRICE")</f>
        <v>UNIT PRICE</v>
      </c>
      <c r="AI21" s="81" t="str">
        <f>IF(Francais,"SOUS-TOTAL","EXTENDED PRICE")</f>
        <v>EXTENDED PRICE</v>
      </c>
    </row>
    <row r="22" spans="1:35" ht="11.25" customHeight="1" x14ac:dyDescent="0.2">
      <c r="A22" s="88"/>
      <c r="B22" s="96"/>
      <c r="C22" s="328"/>
      <c r="D22" s="756"/>
      <c r="E22" s="756"/>
      <c r="F22" s="756"/>
      <c r="G22" s="756"/>
      <c r="H22" s="756"/>
      <c r="I22" s="756"/>
      <c r="J22" s="756"/>
      <c r="K22" s="756"/>
      <c r="L22" s="756"/>
      <c r="M22" s="756"/>
      <c r="N22" s="757"/>
      <c r="O22" s="757"/>
      <c r="P22" s="268"/>
      <c r="Q22" s="269"/>
      <c r="S22" s="88"/>
      <c r="T22" s="96"/>
      <c r="U22" s="328"/>
      <c r="V22" s="756"/>
      <c r="W22" s="756"/>
      <c r="X22" s="756"/>
      <c r="Y22" s="756"/>
      <c r="Z22" s="756"/>
      <c r="AA22" s="756"/>
      <c r="AB22" s="756"/>
      <c r="AC22" s="756"/>
      <c r="AD22" s="756"/>
      <c r="AE22" s="756"/>
      <c r="AF22" s="757"/>
      <c r="AG22" s="757"/>
      <c r="AH22" s="268"/>
      <c r="AI22" s="269"/>
    </row>
    <row r="23" spans="1:35" ht="11.25" customHeight="1" x14ac:dyDescent="0.2">
      <c r="A23" s="89"/>
      <c r="B23" s="78" t="str">
        <f>IF(AND(C23&gt;0,C23&lt;&gt;"",AND(LEFT(D23,7)&lt;&gt;"   • Wi",LEFT(D23,7)&lt;&gt;"   • XL")),
COUNT($C$23:C23),"")</f>
        <v/>
      </c>
      <c r="C23" s="87" t="str">
        <f>IF(NOT(QUOTE_Split_SoftwareHardware),QCalc!Q3,QCalc!X3)</f>
        <v/>
      </c>
      <c r="D23" s="735" t="str">
        <f>IF(NOT(QUOTE_Split_SoftwareHardware),QCalc!N3,QCalc!U3)</f>
        <v/>
      </c>
      <c r="E23" s="735"/>
      <c r="F23" s="735"/>
      <c r="G23" s="735"/>
      <c r="H23" s="735"/>
      <c r="I23" s="735"/>
      <c r="J23" s="735"/>
      <c r="K23" s="735"/>
      <c r="L23" s="735"/>
      <c r="M23" s="735"/>
      <c r="N23" s="736" t="str">
        <f>IF(NOT(QUOTE_Split_SoftwareHardware),
IF(QUOTE_DetailedPrices,QCalc!P3,QCalc!O3),
IF(QUOTE_DetailedPrices,QCalc!W3,QCalc!V3))</f>
        <v/>
      </c>
      <c r="O23" s="737"/>
      <c r="P23" s="270" t="str">
        <f>IF(NOT(QUOTE_Split_SoftwareHardware),QCalc!R3,QCalc!Y3)</f>
        <v/>
      </c>
      <c r="Q23" s="271" t="str">
        <f>IF(NOT(QUOTE_Split_SoftwareHardware),QCalc!S3,QCalc!Z3)</f>
        <v/>
      </c>
      <c r="S23" s="89"/>
      <c r="T23" s="78" t="str">
        <f>IF(AND(U23&gt;0,U23&lt;&gt;"",AND(LEFT(V23,7)&lt;&gt;"   • Wi",LEFT(V23,7)&lt;&gt;"   • XL")),
COUNT($U$23:U23)
+IF(NOT(QUOTE_Split_SoftwareHardware),MAX($B$23:$B$53),0),"")</f>
        <v/>
      </c>
      <c r="U23" s="87" t="str">
        <f>IF(NOT(QUOTE_Split_SoftwareHardware),QCalc!Q34,QCalc!AE3)</f>
        <v/>
      </c>
      <c r="V23" s="735" t="str">
        <f>IF(NOT(QUOTE_Split_SoftwareHardware),QCalc!N34,QCalc!AB3)</f>
        <v/>
      </c>
      <c r="W23" s="735"/>
      <c r="X23" s="735"/>
      <c r="Y23" s="735"/>
      <c r="Z23" s="735"/>
      <c r="AA23" s="735"/>
      <c r="AB23" s="735"/>
      <c r="AC23" s="735"/>
      <c r="AD23" s="735"/>
      <c r="AE23" s="735"/>
      <c r="AF23" s="736" t="str">
        <f>IF(NOT(QUOTE_Split_SoftwareHardware),
IF(QUOTE_DetailedPrices,QCalc!P34,QCalc!O34),
IF(QUOTE_DetailedPrices,QCalc!AD3,QCalc!AC3))</f>
        <v/>
      </c>
      <c r="AG23" s="737"/>
      <c r="AH23" s="270" t="str">
        <f>IF(NOT(QUOTE_Split_SoftwareHardware),QCalc!R34,QCalc!AF3)</f>
        <v/>
      </c>
      <c r="AI23" s="271" t="str">
        <f>IF(NOT(QUOTE_Split_SoftwareHardware),QCalc!S34,QCalc!AG3)</f>
        <v/>
      </c>
    </row>
    <row r="24" spans="1:35" ht="11.25" customHeight="1" x14ac:dyDescent="0.2">
      <c r="A24" s="89"/>
      <c r="B24" s="78" t="str">
        <f>IF(AND(C24&gt;0,C24&lt;&gt;"",AND(LEFT(D24,7)&lt;&gt;"   • Wi",LEFT(D24,7)&lt;&gt;"   • XL")),
COUNT($C$23:C24),"")</f>
        <v/>
      </c>
      <c r="C24" s="87" t="str">
        <f>IF(NOT(QUOTE_Split_SoftwareHardware),QCalc!Q4,QCalc!X4)</f>
        <v/>
      </c>
      <c r="D24" s="735" t="str">
        <f>IF(NOT(QUOTE_Split_SoftwareHardware),QCalc!N4,QCalc!U4)</f>
        <v/>
      </c>
      <c r="E24" s="735"/>
      <c r="F24" s="735"/>
      <c r="G24" s="735"/>
      <c r="H24" s="735"/>
      <c r="I24" s="735"/>
      <c r="J24" s="735"/>
      <c r="K24" s="735"/>
      <c r="L24" s="735"/>
      <c r="M24" s="735"/>
      <c r="N24" s="736" t="str">
        <f>IF(NOT(QUOTE_Split_SoftwareHardware),
IF(QUOTE_DetailedPrices,QCalc!P4,QCalc!O4),
IF(QUOTE_DetailedPrices,QCalc!W4,QCalc!V4))</f>
        <v/>
      </c>
      <c r="O24" s="737"/>
      <c r="P24" s="270" t="str">
        <f>IF(NOT(QUOTE_Split_SoftwareHardware),QCalc!R4,QCalc!Y4)</f>
        <v/>
      </c>
      <c r="Q24" s="271" t="str">
        <f>IF(NOT(QUOTE_Split_SoftwareHardware),QCalc!S4,QCalc!Z4)</f>
        <v/>
      </c>
      <c r="S24" s="89"/>
      <c r="T24" s="78" t="str">
        <f>IF(AND(U24&gt;0,U24&lt;&gt;"",AND(LEFT(V24,7)&lt;&gt;"   • Wi",LEFT(V24,7)&lt;&gt;"   • XL")),
COUNT($U$23:U24)
+IF(NOT(QUOTE_Split_SoftwareHardware),MAX($B$23:$B$53),0),"")</f>
        <v/>
      </c>
      <c r="U24" s="87" t="str">
        <f>IF(NOT(QUOTE_Split_SoftwareHardware),QCalc!Q35,QCalc!AE4)</f>
        <v/>
      </c>
      <c r="V24" s="734" t="str">
        <f>IF(NOT(QUOTE_Split_SoftwareHardware),QCalc!N35,QCalc!AB4)</f>
        <v/>
      </c>
      <c r="W24" s="735"/>
      <c r="X24" s="735"/>
      <c r="Y24" s="735"/>
      <c r="Z24" s="735"/>
      <c r="AA24" s="735"/>
      <c r="AB24" s="735"/>
      <c r="AC24" s="735"/>
      <c r="AD24" s="735"/>
      <c r="AE24" s="735"/>
      <c r="AF24" s="736" t="str">
        <f>IF(NOT(QUOTE_Split_SoftwareHardware),
IF(QUOTE_DetailedPrices,QCalc!P35,QCalc!O35),
IF(QUOTE_DetailedPrices,QCalc!AD4,QCalc!AC4))</f>
        <v/>
      </c>
      <c r="AG24" s="737"/>
      <c r="AH24" s="270" t="str">
        <f>IF(NOT(QUOTE_Split_SoftwareHardware),QCalc!R35,QCalc!AF4)</f>
        <v/>
      </c>
      <c r="AI24" s="271" t="str">
        <f>IF(NOT(QUOTE_Split_SoftwareHardware),QCalc!S35,QCalc!AG4)</f>
        <v/>
      </c>
    </row>
    <row r="25" spans="1:35" ht="11.25" customHeight="1" x14ac:dyDescent="0.2">
      <c r="A25" s="89"/>
      <c r="B25" s="78" t="str">
        <f>IF(AND(C25&gt;0,C25&lt;&gt;"",AND(LEFT(D25,7)&lt;&gt;"   • Wi",LEFT(D25,7)&lt;&gt;"   • XL")),
COUNT($C$23:C25),"")</f>
        <v/>
      </c>
      <c r="C25" s="87" t="str">
        <f>IF(NOT(QUOTE_Split_SoftwareHardware),QCalc!Q5,QCalc!X5)</f>
        <v/>
      </c>
      <c r="D25" s="735" t="str">
        <f>IF(NOT(QUOTE_Split_SoftwareHardware),QCalc!N5,QCalc!U5)</f>
        <v/>
      </c>
      <c r="E25" s="735"/>
      <c r="F25" s="735"/>
      <c r="G25" s="735"/>
      <c r="H25" s="735"/>
      <c r="I25" s="735"/>
      <c r="J25" s="735"/>
      <c r="K25" s="735"/>
      <c r="L25" s="735"/>
      <c r="M25" s="735"/>
      <c r="N25" s="736" t="str">
        <f>IF(NOT(QUOTE_Split_SoftwareHardware),
IF(QUOTE_DetailedPrices,QCalc!P5,QCalc!O5),
IF(QUOTE_DetailedPrices,QCalc!W5,QCalc!V5))</f>
        <v/>
      </c>
      <c r="O25" s="737"/>
      <c r="P25" s="270" t="str">
        <f>IF(NOT(QUOTE_Split_SoftwareHardware),QCalc!R5,QCalc!Y5)</f>
        <v/>
      </c>
      <c r="Q25" s="271" t="str">
        <f>IF(NOT(QUOTE_Split_SoftwareHardware),QCalc!S5,QCalc!Z5)</f>
        <v/>
      </c>
      <c r="S25" s="89"/>
      <c r="T25" s="78" t="str">
        <f>IF(AND(U25&gt;0,U25&lt;&gt;"",AND(LEFT(V25,7)&lt;&gt;"   • Wi",LEFT(V25,7)&lt;&gt;"   • XL")),
COUNT($U$23:U25)
+IF(NOT(QUOTE_Split_SoftwareHardware),MAX($B$23:$B$53),0),"")</f>
        <v/>
      </c>
      <c r="U25" s="87" t="str">
        <f>IF(NOT(QUOTE_Split_SoftwareHardware),QCalc!Q36,QCalc!AE5)</f>
        <v/>
      </c>
      <c r="V25" s="734" t="str">
        <f>IF(NOT(QUOTE_Split_SoftwareHardware),QCalc!N36,QCalc!AB5)</f>
        <v/>
      </c>
      <c r="W25" s="735"/>
      <c r="X25" s="735"/>
      <c r="Y25" s="735"/>
      <c r="Z25" s="735"/>
      <c r="AA25" s="735"/>
      <c r="AB25" s="735"/>
      <c r="AC25" s="735"/>
      <c r="AD25" s="735"/>
      <c r="AE25" s="735"/>
      <c r="AF25" s="736" t="str">
        <f>IF(NOT(QUOTE_Split_SoftwareHardware),
IF(QUOTE_DetailedPrices,QCalc!P36,QCalc!O36),
IF(QUOTE_DetailedPrices,QCalc!AD5,QCalc!AC5))</f>
        <v/>
      </c>
      <c r="AG25" s="737"/>
      <c r="AH25" s="270" t="str">
        <f>IF(NOT(QUOTE_Split_SoftwareHardware),QCalc!R36,QCalc!AF5)</f>
        <v/>
      </c>
      <c r="AI25" s="271" t="str">
        <f>IF(NOT(QUOTE_Split_SoftwareHardware),QCalc!S36,QCalc!AG5)</f>
        <v/>
      </c>
    </row>
    <row r="26" spans="1:35" ht="11.25" customHeight="1" x14ac:dyDescent="0.2">
      <c r="A26" s="89"/>
      <c r="B26" s="78" t="str">
        <f>IF(AND(C26&gt;0,C26&lt;&gt;"",AND(LEFT(D26,7)&lt;&gt;"   • Wi",LEFT(D26,7)&lt;&gt;"   • XL")),
COUNT($C$23:C26),"")</f>
        <v/>
      </c>
      <c r="C26" s="87" t="str">
        <f>IF(NOT(QUOTE_Split_SoftwareHardware),QCalc!Q6,QCalc!X6)</f>
        <v/>
      </c>
      <c r="D26" s="735" t="str">
        <f>IF(NOT(QUOTE_Split_SoftwareHardware),QCalc!N6,QCalc!U6)</f>
        <v/>
      </c>
      <c r="E26" s="735"/>
      <c r="F26" s="735"/>
      <c r="G26" s="735"/>
      <c r="H26" s="735"/>
      <c r="I26" s="735"/>
      <c r="J26" s="735"/>
      <c r="K26" s="735"/>
      <c r="L26" s="735"/>
      <c r="M26" s="735"/>
      <c r="N26" s="736" t="str">
        <f>IF(NOT(QUOTE_Split_SoftwareHardware),
IF(QUOTE_DetailedPrices,QCalc!P6,QCalc!O6),
IF(QUOTE_DetailedPrices,QCalc!W6,QCalc!V6))</f>
        <v/>
      </c>
      <c r="O26" s="737"/>
      <c r="P26" s="270" t="str">
        <f>IF(NOT(QUOTE_Split_SoftwareHardware),QCalc!R6,QCalc!Y6)</f>
        <v/>
      </c>
      <c r="Q26" s="271" t="str">
        <f>IF(NOT(QUOTE_Split_SoftwareHardware),QCalc!S6,QCalc!Z6)</f>
        <v/>
      </c>
      <c r="S26" s="89"/>
      <c r="T26" s="78" t="str">
        <f>IF(AND(U26&gt;0,U26&lt;&gt;"",AND(LEFT(V26,7)&lt;&gt;"   • Wi",LEFT(V26,7)&lt;&gt;"   • XL")),
COUNT($U$23:U26)
+IF(NOT(QUOTE_Split_SoftwareHardware),MAX($B$23:$B$53),0),"")</f>
        <v/>
      </c>
      <c r="U26" s="87" t="str">
        <f>IF(NOT(QUOTE_Split_SoftwareHardware),QCalc!Q37,QCalc!AE6)</f>
        <v/>
      </c>
      <c r="V26" s="734" t="str">
        <f>IF(NOT(QUOTE_Split_SoftwareHardware),QCalc!N37,QCalc!AB6)</f>
        <v/>
      </c>
      <c r="W26" s="735"/>
      <c r="X26" s="735"/>
      <c r="Y26" s="735"/>
      <c r="Z26" s="735"/>
      <c r="AA26" s="735"/>
      <c r="AB26" s="735"/>
      <c r="AC26" s="735"/>
      <c r="AD26" s="735"/>
      <c r="AE26" s="735"/>
      <c r="AF26" s="736" t="str">
        <f>IF(NOT(QUOTE_Split_SoftwareHardware),
IF(QUOTE_DetailedPrices,QCalc!P37,QCalc!O37),
IF(QUOTE_DetailedPrices,QCalc!AD6,QCalc!AC6))</f>
        <v/>
      </c>
      <c r="AG26" s="737"/>
      <c r="AH26" s="270" t="str">
        <f>IF(NOT(QUOTE_Split_SoftwareHardware),QCalc!R37,QCalc!AF6)</f>
        <v/>
      </c>
      <c r="AI26" s="271" t="str">
        <f>IF(NOT(QUOTE_Split_SoftwareHardware),QCalc!S37,QCalc!AG6)</f>
        <v/>
      </c>
    </row>
    <row r="27" spans="1:35" ht="11.25" customHeight="1" x14ac:dyDescent="0.2">
      <c r="A27" s="89"/>
      <c r="B27" s="78" t="str">
        <f>IF(AND(C27&gt;0,C27&lt;&gt;"",AND(LEFT(D27,7)&lt;&gt;"   • Wi",LEFT(D27,7)&lt;&gt;"   • XL")),
COUNT($C$23:C27),"")</f>
        <v/>
      </c>
      <c r="C27" s="87" t="str">
        <f>IF(NOT(QUOTE_Split_SoftwareHardware),QCalc!Q7,QCalc!X7)</f>
        <v/>
      </c>
      <c r="D27" s="735" t="str">
        <f>IF(NOT(QUOTE_Split_SoftwareHardware),QCalc!N7,QCalc!U7)</f>
        <v/>
      </c>
      <c r="E27" s="735"/>
      <c r="F27" s="735"/>
      <c r="G27" s="735"/>
      <c r="H27" s="735"/>
      <c r="I27" s="735"/>
      <c r="J27" s="735"/>
      <c r="K27" s="735"/>
      <c r="L27" s="735"/>
      <c r="M27" s="735"/>
      <c r="N27" s="736" t="str">
        <f>IF(NOT(QUOTE_Split_SoftwareHardware),
IF(QUOTE_DetailedPrices,QCalc!P7,QCalc!O7),
IF(QUOTE_DetailedPrices,QCalc!W7,QCalc!V7))</f>
        <v/>
      </c>
      <c r="O27" s="737"/>
      <c r="P27" s="270" t="str">
        <f>IF(NOT(QUOTE_Split_SoftwareHardware),QCalc!R7,QCalc!Y7)</f>
        <v/>
      </c>
      <c r="Q27" s="271" t="str">
        <f>IF(NOT(QUOTE_Split_SoftwareHardware),QCalc!S7,QCalc!Z7)</f>
        <v/>
      </c>
      <c r="S27" s="89"/>
      <c r="T27" s="78" t="str">
        <f>IF(AND(U27&gt;0,U27&lt;&gt;"",AND(LEFT(V27,7)&lt;&gt;"   • Wi",LEFT(V27,7)&lt;&gt;"   • XL")),
COUNT($U$23:U27)
+IF(NOT(QUOTE_Split_SoftwareHardware),MAX($B$23:$B$53),0),"")</f>
        <v/>
      </c>
      <c r="U27" s="87" t="str">
        <f>IF(NOT(QUOTE_Split_SoftwareHardware),QCalc!Q38,QCalc!AE7)</f>
        <v/>
      </c>
      <c r="V27" s="734" t="str">
        <f>IF(NOT(QUOTE_Split_SoftwareHardware),QCalc!N38,QCalc!AB7)</f>
        <v/>
      </c>
      <c r="W27" s="735"/>
      <c r="X27" s="735"/>
      <c r="Y27" s="735"/>
      <c r="Z27" s="735"/>
      <c r="AA27" s="735"/>
      <c r="AB27" s="735"/>
      <c r="AC27" s="735"/>
      <c r="AD27" s="735"/>
      <c r="AE27" s="735"/>
      <c r="AF27" s="736" t="str">
        <f>IF(NOT(QUOTE_Split_SoftwareHardware),
IF(QUOTE_DetailedPrices,QCalc!P38,QCalc!O38),
IF(QUOTE_DetailedPrices,QCalc!AD7,QCalc!AC7))</f>
        <v/>
      </c>
      <c r="AG27" s="737"/>
      <c r="AH27" s="270" t="str">
        <f>IF(NOT(QUOTE_Split_SoftwareHardware),QCalc!R38,QCalc!AF7)</f>
        <v/>
      </c>
      <c r="AI27" s="271" t="str">
        <f>IF(NOT(QUOTE_Split_SoftwareHardware),QCalc!S38,QCalc!AG7)</f>
        <v/>
      </c>
    </row>
    <row r="28" spans="1:35" ht="11.25" customHeight="1" x14ac:dyDescent="0.2">
      <c r="A28" s="89"/>
      <c r="B28" s="78" t="str">
        <f>IF(AND(C28&gt;0,C28&lt;&gt;"",AND(LEFT(D28,7)&lt;&gt;"   • Wi",LEFT(D28,7)&lt;&gt;"   • XL")),
COUNT($C$23:C28),"")</f>
        <v/>
      </c>
      <c r="C28" s="87" t="str">
        <f>IF(NOT(QUOTE_Split_SoftwareHardware),QCalc!Q8,QCalc!X8)</f>
        <v/>
      </c>
      <c r="D28" s="735" t="str">
        <f>IF(NOT(QUOTE_Split_SoftwareHardware),QCalc!N8,QCalc!U8)</f>
        <v/>
      </c>
      <c r="E28" s="735"/>
      <c r="F28" s="735"/>
      <c r="G28" s="735"/>
      <c r="H28" s="735"/>
      <c r="I28" s="735"/>
      <c r="J28" s="735"/>
      <c r="K28" s="735"/>
      <c r="L28" s="735"/>
      <c r="M28" s="735"/>
      <c r="N28" s="736" t="str">
        <f>IF(NOT(QUOTE_Split_SoftwareHardware),
IF(QUOTE_DetailedPrices,QCalc!P8,QCalc!O8),
IF(QUOTE_DetailedPrices,QCalc!W8,QCalc!V8))</f>
        <v/>
      </c>
      <c r="O28" s="737"/>
      <c r="P28" s="270" t="str">
        <f>IF(NOT(QUOTE_Split_SoftwareHardware),QCalc!R8,QCalc!Y8)</f>
        <v/>
      </c>
      <c r="Q28" s="271" t="str">
        <f>IF(NOT(QUOTE_Split_SoftwareHardware),QCalc!S8,QCalc!Z8)</f>
        <v/>
      </c>
      <c r="S28" s="89"/>
      <c r="T28" s="78" t="str">
        <f>IF(AND(U28&gt;0,U28&lt;&gt;"",AND(LEFT(V28,7)&lt;&gt;"   • Wi",LEFT(V28,7)&lt;&gt;"   • XL")),
COUNT($U$23:U28)
+IF(NOT(QUOTE_Split_SoftwareHardware),MAX($B$23:$B$53),0),"")</f>
        <v/>
      </c>
      <c r="U28" s="87" t="str">
        <f>IF(NOT(QUOTE_Split_SoftwareHardware),QCalc!Q39,QCalc!AE8)</f>
        <v/>
      </c>
      <c r="V28" s="734" t="str">
        <f>IF(NOT(QUOTE_Split_SoftwareHardware),QCalc!N39,QCalc!AB8)</f>
        <v/>
      </c>
      <c r="W28" s="735"/>
      <c r="X28" s="735"/>
      <c r="Y28" s="735"/>
      <c r="Z28" s="735"/>
      <c r="AA28" s="735"/>
      <c r="AB28" s="735"/>
      <c r="AC28" s="735"/>
      <c r="AD28" s="735"/>
      <c r="AE28" s="735"/>
      <c r="AF28" s="736" t="str">
        <f>IF(NOT(QUOTE_Split_SoftwareHardware),
IF(QUOTE_DetailedPrices,QCalc!P39,QCalc!O39),
IF(QUOTE_DetailedPrices,QCalc!AD8,QCalc!AC8))</f>
        <v/>
      </c>
      <c r="AG28" s="737"/>
      <c r="AH28" s="270" t="str">
        <f>IF(NOT(QUOTE_Split_SoftwareHardware),QCalc!R39,QCalc!AF8)</f>
        <v/>
      </c>
      <c r="AI28" s="271" t="str">
        <f>IF(NOT(QUOTE_Split_SoftwareHardware),QCalc!S39,QCalc!AG8)</f>
        <v/>
      </c>
    </row>
    <row r="29" spans="1:35" ht="11.25" customHeight="1" x14ac:dyDescent="0.2">
      <c r="A29" s="89"/>
      <c r="B29" s="78" t="str">
        <f>IF(AND(C29&gt;0,C29&lt;&gt;"",AND(LEFT(D29,7)&lt;&gt;"   • Wi",LEFT(D29,7)&lt;&gt;"   • XL")),
COUNT($C$23:C29),"")</f>
        <v/>
      </c>
      <c r="C29" s="87" t="str">
        <f>IF(NOT(QUOTE_Split_SoftwareHardware),QCalc!Q9,QCalc!X9)</f>
        <v/>
      </c>
      <c r="D29" s="735" t="str">
        <f>IF(NOT(QUOTE_Split_SoftwareHardware),QCalc!N9,QCalc!U9)</f>
        <v/>
      </c>
      <c r="E29" s="735"/>
      <c r="F29" s="735"/>
      <c r="G29" s="735"/>
      <c r="H29" s="735"/>
      <c r="I29" s="735"/>
      <c r="J29" s="735"/>
      <c r="K29" s="735"/>
      <c r="L29" s="735"/>
      <c r="M29" s="735"/>
      <c r="N29" s="736" t="str">
        <f>IF(NOT(QUOTE_Split_SoftwareHardware),
IF(QUOTE_DetailedPrices,QCalc!P9,QCalc!O9),
IF(QUOTE_DetailedPrices,QCalc!W9,QCalc!V9))</f>
        <v/>
      </c>
      <c r="O29" s="737"/>
      <c r="P29" s="270" t="str">
        <f>IF(NOT(QUOTE_Split_SoftwareHardware),QCalc!R9,QCalc!Y9)</f>
        <v/>
      </c>
      <c r="Q29" s="271" t="str">
        <f>IF(NOT(QUOTE_Split_SoftwareHardware),QCalc!S9,QCalc!Z9)</f>
        <v/>
      </c>
      <c r="S29" s="89"/>
      <c r="T29" s="78" t="str">
        <f>IF(AND(U29&gt;0,U29&lt;&gt;"",AND(LEFT(V29,7)&lt;&gt;"   • Wi",LEFT(V29,7)&lt;&gt;"   • XL")),
COUNT($U$23:U29)
+IF(NOT(QUOTE_Split_SoftwareHardware),MAX($B$23:$B$53),0),"")</f>
        <v/>
      </c>
      <c r="U29" s="87" t="str">
        <f>IF(NOT(QUOTE_Split_SoftwareHardware),QCalc!Q40,QCalc!AE9)</f>
        <v/>
      </c>
      <c r="V29" s="734" t="str">
        <f>IF(NOT(QUOTE_Split_SoftwareHardware),QCalc!N40,QCalc!AB9)</f>
        <v/>
      </c>
      <c r="W29" s="735"/>
      <c r="X29" s="735"/>
      <c r="Y29" s="735"/>
      <c r="Z29" s="735"/>
      <c r="AA29" s="735"/>
      <c r="AB29" s="735"/>
      <c r="AC29" s="735"/>
      <c r="AD29" s="735"/>
      <c r="AE29" s="735"/>
      <c r="AF29" s="736" t="str">
        <f>IF(NOT(QUOTE_Split_SoftwareHardware),
IF(QUOTE_DetailedPrices,QCalc!P40,QCalc!O40),
IF(QUOTE_DetailedPrices,QCalc!AD9,QCalc!AC9))</f>
        <v/>
      </c>
      <c r="AG29" s="737"/>
      <c r="AH29" s="270" t="str">
        <f>IF(NOT(QUOTE_Split_SoftwareHardware),QCalc!R40,QCalc!AF9)</f>
        <v/>
      </c>
      <c r="AI29" s="271" t="str">
        <f>IF(NOT(QUOTE_Split_SoftwareHardware),QCalc!S40,QCalc!AG9)</f>
        <v/>
      </c>
    </row>
    <row r="30" spans="1:35" ht="11" customHeight="1" x14ac:dyDescent="0.2">
      <c r="A30" s="89"/>
      <c r="B30" s="78" t="str">
        <f>IF(AND(C30&gt;0,C30&lt;&gt;"",AND(LEFT(D30,7)&lt;&gt;"   • Wi",LEFT(D30,7)&lt;&gt;"   • XL")),
COUNT($C$23:C30),"")</f>
        <v/>
      </c>
      <c r="C30" s="87" t="str">
        <f>IF(NOT(QUOTE_Split_SoftwareHardware),QCalc!Q10,QCalc!X10)</f>
        <v/>
      </c>
      <c r="D30" s="735" t="str">
        <f>IF(NOT(QUOTE_Split_SoftwareHardware),QCalc!N10,QCalc!U10)</f>
        <v/>
      </c>
      <c r="E30" s="735"/>
      <c r="F30" s="735"/>
      <c r="G30" s="735"/>
      <c r="H30" s="735"/>
      <c r="I30" s="735"/>
      <c r="J30" s="735"/>
      <c r="K30" s="735"/>
      <c r="L30" s="735"/>
      <c r="M30" s="735"/>
      <c r="N30" s="736" t="str">
        <f>IF(NOT(QUOTE_Split_SoftwareHardware),
IF(QUOTE_DetailedPrices,QCalc!P10,QCalc!O10),
IF(QUOTE_DetailedPrices,QCalc!W10,QCalc!V10))</f>
        <v/>
      </c>
      <c r="O30" s="737"/>
      <c r="P30" s="270" t="str">
        <f>IF(NOT(QUOTE_Split_SoftwareHardware),QCalc!R10,QCalc!Y10)</f>
        <v/>
      </c>
      <c r="Q30" s="271" t="str">
        <f>IF(NOT(QUOTE_Split_SoftwareHardware),QCalc!S10,QCalc!Z10)</f>
        <v/>
      </c>
      <c r="S30" s="89"/>
      <c r="T30" s="78" t="str">
        <f>IF(AND(U30&gt;0,U30&lt;&gt;"",AND(LEFT(V30,7)&lt;&gt;"   • Wi",LEFT(V30,7)&lt;&gt;"   • XL")),
COUNT($U$23:U30)
+IF(NOT(QUOTE_Split_SoftwareHardware),MAX($B$23:$B$53),0),"")</f>
        <v/>
      </c>
      <c r="U30" s="87" t="str">
        <f>IF(NOT(QUOTE_Split_SoftwareHardware),QCalc!Q41,QCalc!AE10)</f>
        <v/>
      </c>
      <c r="V30" s="734" t="str">
        <f>IF(NOT(QUOTE_Split_SoftwareHardware),QCalc!N41,QCalc!AB10)</f>
        <v/>
      </c>
      <c r="W30" s="735"/>
      <c r="X30" s="735"/>
      <c r="Y30" s="735"/>
      <c r="Z30" s="735"/>
      <c r="AA30" s="735"/>
      <c r="AB30" s="735"/>
      <c r="AC30" s="735"/>
      <c r="AD30" s="735"/>
      <c r="AE30" s="735"/>
      <c r="AF30" s="736" t="str">
        <f>IF(NOT(QUOTE_Split_SoftwareHardware),
IF(QUOTE_DetailedPrices,QCalc!P41,QCalc!O41),
IF(QUOTE_DetailedPrices,QCalc!AD10,QCalc!AC10))</f>
        <v/>
      </c>
      <c r="AG30" s="737"/>
      <c r="AH30" s="270" t="str">
        <f>IF(NOT(QUOTE_Split_SoftwareHardware),QCalc!R41,QCalc!AF10)</f>
        <v/>
      </c>
      <c r="AI30" s="271" t="str">
        <f>IF(NOT(QUOTE_Split_SoftwareHardware),QCalc!S41,QCalc!AG10)</f>
        <v/>
      </c>
    </row>
    <row r="31" spans="1:35" ht="11" customHeight="1" x14ac:dyDescent="0.2">
      <c r="A31" s="89"/>
      <c r="B31" s="78" t="str">
        <f>IF(AND(C31&gt;0,C31&lt;&gt;"",AND(LEFT(D31,7)&lt;&gt;"   • Wi",LEFT(D31,7)&lt;&gt;"   • XL")),
COUNT($C$23:C31),"")</f>
        <v/>
      </c>
      <c r="C31" s="87" t="str">
        <f>IF(NOT(QUOTE_Split_SoftwareHardware),QCalc!Q11,QCalc!X11)</f>
        <v/>
      </c>
      <c r="D31" s="735" t="str">
        <f>IF(NOT(QUOTE_Split_SoftwareHardware),QCalc!N11,QCalc!U11)</f>
        <v/>
      </c>
      <c r="E31" s="735"/>
      <c r="F31" s="735"/>
      <c r="G31" s="735"/>
      <c r="H31" s="735"/>
      <c r="I31" s="735"/>
      <c r="J31" s="735"/>
      <c r="K31" s="735"/>
      <c r="L31" s="735"/>
      <c r="M31" s="735"/>
      <c r="N31" s="736" t="str">
        <f>IF(NOT(QUOTE_Split_SoftwareHardware),
IF(QUOTE_DetailedPrices,QCalc!P11,QCalc!O11),
IF(QUOTE_DetailedPrices,QCalc!W11,QCalc!V11))</f>
        <v/>
      </c>
      <c r="O31" s="737"/>
      <c r="P31" s="270" t="str">
        <f>IF(NOT(QUOTE_Split_SoftwareHardware),QCalc!R11,QCalc!Y11)</f>
        <v/>
      </c>
      <c r="Q31" s="271" t="str">
        <f>IF(NOT(QUOTE_Split_SoftwareHardware),QCalc!S11,QCalc!Z11)</f>
        <v/>
      </c>
      <c r="S31" s="89"/>
      <c r="T31" s="78" t="str">
        <f>IF(AND(U31&gt;0,U31&lt;&gt;"",AND(LEFT(V31,7)&lt;&gt;"   • Wi",LEFT(V31,7)&lt;&gt;"   • XL")),
COUNT($U$23:U31)
+IF(NOT(QUOTE_Split_SoftwareHardware),MAX($B$23:$B$53),0),"")</f>
        <v/>
      </c>
      <c r="U31" s="87" t="str">
        <f>IF(NOT(QUOTE_Split_SoftwareHardware),QCalc!Q42,QCalc!AE11)</f>
        <v/>
      </c>
      <c r="V31" s="734" t="str">
        <f>IF(NOT(QUOTE_Split_SoftwareHardware),QCalc!N42,QCalc!AB11)</f>
        <v/>
      </c>
      <c r="W31" s="735"/>
      <c r="X31" s="735"/>
      <c r="Y31" s="735"/>
      <c r="Z31" s="735"/>
      <c r="AA31" s="735"/>
      <c r="AB31" s="735"/>
      <c r="AC31" s="735"/>
      <c r="AD31" s="735"/>
      <c r="AE31" s="735"/>
      <c r="AF31" s="736" t="str">
        <f>IF(NOT(QUOTE_Split_SoftwareHardware),
IF(QUOTE_DetailedPrices,QCalc!P42,QCalc!O42),
IF(QUOTE_DetailedPrices,QCalc!AD11,QCalc!AC11))</f>
        <v/>
      </c>
      <c r="AG31" s="737"/>
      <c r="AH31" s="270" t="str">
        <f>IF(NOT(QUOTE_Split_SoftwareHardware),QCalc!R42,QCalc!AF11)</f>
        <v/>
      </c>
      <c r="AI31" s="271" t="str">
        <f>IF(NOT(QUOTE_Split_SoftwareHardware),QCalc!S42,QCalc!AG11)</f>
        <v/>
      </c>
    </row>
    <row r="32" spans="1:35" ht="11" customHeight="1" x14ac:dyDescent="0.2">
      <c r="A32" s="89"/>
      <c r="B32" s="78" t="str">
        <f>IF(AND(C32&gt;0,C32&lt;&gt;"",AND(LEFT(D32,7)&lt;&gt;"   • Wi",LEFT(D32,7)&lt;&gt;"   • XL")),
COUNT($C$23:C32),"")</f>
        <v/>
      </c>
      <c r="C32" s="87" t="str">
        <f>IF(NOT(QUOTE_Split_SoftwareHardware),QCalc!Q12,QCalc!X12)</f>
        <v/>
      </c>
      <c r="D32" s="735" t="str">
        <f>IF(NOT(QUOTE_Split_SoftwareHardware),QCalc!N12,QCalc!U12)</f>
        <v/>
      </c>
      <c r="E32" s="735"/>
      <c r="F32" s="735"/>
      <c r="G32" s="735"/>
      <c r="H32" s="735"/>
      <c r="I32" s="735"/>
      <c r="J32" s="735"/>
      <c r="K32" s="735"/>
      <c r="L32" s="735"/>
      <c r="M32" s="735"/>
      <c r="N32" s="736" t="str">
        <f>IF(NOT(QUOTE_Split_SoftwareHardware),
IF(QUOTE_DetailedPrices,QCalc!P12,QCalc!O12),
IF(QUOTE_DetailedPrices,QCalc!W12,QCalc!V12))</f>
        <v/>
      </c>
      <c r="O32" s="737"/>
      <c r="P32" s="270" t="str">
        <f>IF(NOT(QUOTE_Split_SoftwareHardware),QCalc!R12,QCalc!Y12)</f>
        <v/>
      </c>
      <c r="Q32" s="271" t="str">
        <f>IF(NOT(QUOTE_Split_SoftwareHardware),QCalc!S12,QCalc!Z12)</f>
        <v/>
      </c>
      <c r="S32" s="89"/>
      <c r="T32" s="78" t="str">
        <f>IF(AND(U32&gt;0,U32&lt;&gt;"",AND(LEFT(V32,7)&lt;&gt;"   • Wi",LEFT(V32,7)&lt;&gt;"   • XL")),
COUNT($U$23:U32)
+IF(NOT(QUOTE_Split_SoftwareHardware),MAX($B$23:$B$53),0),"")</f>
        <v/>
      </c>
      <c r="U32" s="87" t="str">
        <f>IF(NOT(QUOTE_Split_SoftwareHardware),QCalc!Q43,QCalc!AE12)</f>
        <v/>
      </c>
      <c r="V32" s="734" t="str">
        <f>IF(NOT(QUOTE_Split_SoftwareHardware),QCalc!N43,QCalc!AB12)</f>
        <v/>
      </c>
      <c r="W32" s="735"/>
      <c r="X32" s="735"/>
      <c r="Y32" s="735"/>
      <c r="Z32" s="735"/>
      <c r="AA32" s="735"/>
      <c r="AB32" s="735"/>
      <c r="AC32" s="735"/>
      <c r="AD32" s="735"/>
      <c r="AE32" s="735"/>
      <c r="AF32" s="736" t="str">
        <f>IF(NOT(QUOTE_Split_SoftwareHardware),
IF(QUOTE_DetailedPrices,QCalc!P43,QCalc!O43),
IF(QUOTE_DetailedPrices,QCalc!AD12,QCalc!AC12))</f>
        <v/>
      </c>
      <c r="AG32" s="737"/>
      <c r="AH32" s="270" t="str">
        <f>IF(NOT(QUOTE_Split_SoftwareHardware),QCalc!R43,QCalc!AF12)</f>
        <v/>
      </c>
      <c r="AI32" s="271" t="str">
        <f>IF(NOT(QUOTE_Split_SoftwareHardware),QCalc!S43,QCalc!AG12)</f>
        <v/>
      </c>
    </row>
    <row r="33" spans="1:35" ht="11" customHeight="1" x14ac:dyDescent="0.2">
      <c r="A33" s="89"/>
      <c r="B33" s="78" t="str">
        <f>IF(AND(C33&gt;0,C33&lt;&gt;"",AND(LEFT(D33,7)&lt;&gt;"   • Wi",LEFT(D33,7)&lt;&gt;"   • XL")),
COUNT($C$23:C33),"")</f>
        <v/>
      </c>
      <c r="C33" s="87" t="str">
        <f>IF(NOT(QUOTE_Split_SoftwareHardware),QCalc!Q13,QCalc!X13)</f>
        <v/>
      </c>
      <c r="D33" s="735" t="str">
        <f>IF(NOT(QUOTE_Split_SoftwareHardware),QCalc!N13,QCalc!U13)</f>
        <v/>
      </c>
      <c r="E33" s="735"/>
      <c r="F33" s="735"/>
      <c r="G33" s="735"/>
      <c r="H33" s="735"/>
      <c r="I33" s="735"/>
      <c r="J33" s="735"/>
      <c r="K33" s="735"/>
      <c r="L33" s="735"/>
      <c r="M33" s="735"/>
      <c r="N33" s="736" t="str">
        <f>IF(NOT(QUOTE_Split_SoftwareHardware),
IF(QUOTE_DetailedPrices,QCalc!P13,QCalc!O13),
IF(QUOTE_DetailedPrices,QCalc!W13,QCalc!V13))</f>
        <v/>
      </c>
      <c r="O33" s="737"/>
      <c r="P33" s="270" t="str">
        <f>IF(NOT(QUOTE_Split_SoftwareHardware),QCalc!R13,QCalc!Y13)</f>
        <v/>
      </c>
      <c r="Q33" s="271" t="str">
        <f>IF(NOT(QUOTE_Split_SoftwareHardware),QCalc!S13,QCalc!Z13)</f>
        <v/>
      </c>
      <c r="S33" s="89"/>
      <c r="T33" s="78" t="str">
        <f>IF(AND(U33&gt;0,U33&lt;&gt;"",AND(LEFT(V33,7)&lt;&gt;"   • Wi",LEFT(V33,7)&lt;&gt;"   • XL")),
COUNT($U$23:U33)
+IF(NOT(QUOTE_Split_SoftwareHardware),MAX($B$23:$B$53),0),"")</f>
        <v/>
      </c>
      <c r="U33" s="87" t="str">
        <f>IF(NOT(QUOTE_Split_SoftwareHardware),QCalc!Q44,QCalc!AE13)</f>
        <v/>
      </c>
      <c r="V33" s="734" t="str">
        <f>IF(NOT(QUOTE_Split_SoftwareHardware),QCalc!N44,QCalc!AB13)</f>
        <v/>
      </c>
      <c r="W33" s="735"/>
      <c r="X33" s="735"/>
      <c r="Y33" s="735"/>
      <c r="Z33" s="735"/>
      <c r="AA33" s="735"/>
      <c r="AB33" s="735"/>
      <c r="AC33" s="735"/>
      <c r="AD33" s="735"/>
      <c r="AE33" s="735"/>
      <c r="AF33" s="736" t="str">
        <f>IF(NOT(QUOTE_Split_SoftwareHardware),
IF(QUOTE_DetailedPrices,QCalc!P44,QCalc!O44),
IF(QUOTE_DetailedPrices,QCalc!AD13,QCalc!AC13))</f>
        <v/>
      </c>
      <c r="AG33" s="737"/>
      <c r="AH33" s="270" t="str">
        <f>IF(NOT(QUOTE_Split_SoftwareHardware),QCalc!R44,QCalc!AF13)</f>
        <v/>
      </c>
      <c r="AI33" s="271" t="str">
        <f>IF(NOT(QUOTE_Split_SoftwareHardware),QCalc!S44,QCalc!AG13)</f>
        <v/>
      </c>
    </row>
    <row r="34" spans="1:35" ht="11" customHeight="1" x14ac:dyDescent="0.2">
      <c r="A34" s="89"/>
      <c r="B34" s="78" t="str">
        <f>IF(AND(C34&gt;0,C34&lt;&gt;"",AND(LEFT(D34,7)&lt;&gt;"   • Wi",LEFT(D34,7)&lt;&gt;"   • XL")),
COUNT($C$23:C34),"")</f>
        <v/>
      </c>
      <c r="C34" s="87" t="str">
        <f>IF(NOT(QUOTE_Split_SoftwareHardware),QCalc!Q14,QCalc!X14)</f>
        <v/>
      </c>
      <c r="D34" s="735" t="str">
        <f>IF(NOT(QUOTE_Split_SoftwareHardware),QCalc!N14,QCalc!U14)</f>
        <v/>
      </c>
      <c r="E34" s="735"/>
      <c r="F34" s="735"/>
      <c r="G34" s="735"/>
      <c r="H34" s="735"/>
      <c r="I34" s="735"/>
      <c r="J34" s="735"/>
      <c r="K34" s="735"/>
      <c r="L34" s="735"/>
      <c r="M34" s="735"/>
      <c r="N34" s="736" t="str">
        <f>IF(NOT(QUOTE_Split_SoftwareHardware),
IF(QUOTE_DetailedPrices,QCalc!P14,QCalc!O14),
IF(QUOTE_DetailedPrices,QCalc!W14,QCalc!V14))</f>
        <v/>
      </c>
      <c r="O34" s="737"/>
      <c r="P34" s="270" t="str">
        <f>IF(NOT(QUOTE_Split_SoftwareHardware),QCalc!R14,QCalc!Y14)</f>
        <v/>
      </c>
      <c r="Q34" s="271" t="str">
        <f>IF(NOT(QUOTE_Split_SoftwareHardware),QCalc!S14,QCalc!Z14)</f>
        <v/>
      </c>
      <c r="S34" s="89"/>
      <c r="T34" s="78" t="str">
        <f>IF(AND(U34&gt;0,U34&lt;&gt;"",AND(LEFT(V34,7)&lt;&gt;"   • Wi",LEFT(V34,7)&lt;&gt;"   • XL")),
COUNT($U$23:U34)
+IF(NOT(QUOTE_Split_SoftwareHardware),MAX($B$23:$B$53),0),"")</f>
        <v/>
      </c>
      <c r="U34" s="87" t="str">
        <f>IF(NOT(QUOTE_Split_SoftwareHardware),QCalc!Q45,QCalc!AE14)</f>
        <v/>
      </c>
      <c r="V34" s="734" t="str">
        <f>IF(NOT(QUOTE_Split_SoftwareHardware),QCalc!N45,QCalc!AB14)</f>
        <v/>
      </c>
      <c r="W34" s="735"/>
      <c r="X34" s="735"/>
      <c r="Y34" s="735"/>
      <c r="Z34" s="735"/>
      <c r="AA34" s="735"/>
      <c r="AB34" s="735"/>
      <c r="AC34" s="735"/>
      <c r="AD34" s="735"/>
      <c r="AE34" s="735"/>
      <c r="AF34" s="736" t="str">
        <f>IF(NOT(QUOTE_Split_SoftwareHardware),
IF(QUOTE_DetailedPrices,QCalc!P45,QCalc!O45),
IF(QUOTE_DetailedPrices,QCalc!AD14,QCalc!AC14))</f>
        <v/>
      </c>
      <c r="AG34" s="737"/>
      <c r="AH34" s="270" t="str">
        <f>IF(NOT(QUOTE_Split_SoftwareHardware),QCalc!R45,QCalc!AF14)</f>
        <v/>
      </c>
      <c r="AI34" s="271" t="str">
        <f>IF(NOT(QUOTE_Split_SoftwareHardware),QCalc!S45,QCalc!AG14)</f>
        <v/>
      </c>
    </row>
    <row r="35" spans="1:35" ht="11" customHeight="1" x14ac:dyDescent="0.2">
      <c r="A35" s="89"/>
      <c r="B35" s="78" t="str">
        <f>IF(AND(C35&gt;0,C35&lt;&gt;"",AND(LEFT(D35,7)&lt;&gt;"   • Wi",LEFT(D35,7)&lt;&gt;"   • XL")),
COUNT($C$23:C35),"")</f>
        <v/>
      </c>
      <c r="C35" s="87" t="str">
        <f>IF(NOT(QUOTE_Split_SoftwareHardware),QCalc!Q15,QCalc!X15)</f>
        <v/>
      </c>
      <c r="D35" s="735" t="str">
        <f>IF(NOT(QUOTE_Split_SoftwareHardware),QCalc!N15,QCalc!U15)</f>
        <v/>
      </c>
      <c r="E35" s="735"/>
      <c r="F35" s="735"/>
      <c r="G35" s="735"/>
      <c r="H35" s="735"/>
      <c r="I35" s="735"/>
      <c r="J35" s="735"/>
      <c r="K35" s="735"/>
      <c r="L35" s="735"/>
      <c r="M35" s="735"/>
      <c r="N35" s="736" t="str">
        <f>IF(NOT(QUOTE_Split_SoftwareHardware),
IF(QUOTE_DetailedPrices,QCalc!P15,QCalc!O15),
IF(QUOTE_DetailedPrices,QCalc!W15,QCalc!V15))</f>
        <v/>
      </c>
      <c r="O35" s="737"/>
      <c r="P35" s="270" t="str">
        <f>IF(NOT(QUOTE_Split_SoftwareHardware),QCalc!R15,QCalc!Y15)</f>
        <v/>
      </c>
      <c r="Q35" s="271" t="str">
        <f>IF(NOT(QUOTE_Split_SoftwareHardware),QCalc!S15,QCalc!Z15)</f>
        <v/>
      </c>
      <c r="S35" s="89"/>
      <c r="T35" s="78" t="str">
        <f>IF(AND(U35&gt;0,U35&lt;&gt;"",AND(LEFT(V35,7)&lt;&gt;"   • Wi",LEFT(V35,7)&lt;&gt;"   • XL")),
COUNT($U$23:U35)
+IF(NOT(QUOTE_Split_SoftwareHardware),MAX($B$23:$B$53),0),"")</f>
        <v/>
      </c>
      <c r="U35" s="87" t="str">
        <f>IF(NOT(QUOTE_Split_SoftwareHardware),QCalc!Q46,QCalc!AE15)</f>
        <v/>
      </c>
      <c r="V35" s="734" t="str">
        <f>IF(NOT(QUOTE_Split_SoftwareHardware),QCalc!N46,QCalc!AB15)</f>
        <v/>
      </c>
      <c r="W35" s="735"/>
      <c r="X35" s="735"/>
      <c r="Y35" s="735"/>
      <c r="Z35" s="735"/>
      <c r="AA35" s="735"/>
      <c r="AB35" s="735"/>
      <c r="AC35" s="735"/>
      <c r="AD35" s="735"/>
      <c r="AE35" s="735"/>
      <c r="AF35" s="736" t="str">
        <f>IF(NOT(QUOTE_Split_SoftwareHardware),
IF(QUOTE_DetailedPrices,QCalc!P46,QCalc!O46),
IF(QUOTE_DetailedPrices,QCalc!AD15,QCalc!AC15))</f>
        <v/>
      </c>
      <c r="AG35" s="737"/>
      <c r="AH35" s="270" t="str">
        <f>IF(NOT(QUOTE_Split_SoftwareHardware),QCalc!R46,QCalc!AF15)</f>
        <v/>
      </c>
      <c r="AI35" s="271" t="str">
        <f>IF(NOT(QUOTE_Split_SoftwareHardware),QCalc!S46,QCalc!AG15)</f>
        <v/>
      </c>
    </row>
    <row r="36" spans="1:35" ht="11" customHeight="1" x14ac:dyDescent="0.2">
      <c r="A36" s="89"/>
      <c r="B36" s="78" t="str">
        <f>IF(AND(C36&gt;0,C36&lt;&gt;"",AND(LEFT(D36,7)&lt;&gt;"   • Wi",LEFT(D36,7)&lt;&gt;"   • XL")),
COUNT($C$23:C36),"")</f>
        <v/>
      </c>
      <c r="C36" s="87" t="str">
        <f>IF(NOT(QUOTE_Split_SoftwareHardware),QCalc!Q16,QCalc!X16)</f>
        <v/>
      </c>
      <c r="D36" s="735" t="str">
        <f>IF(NOT(QUOTE_Split_SoftwareHardware),QCalc!N16,QCalc!U16)</f>
        <v/>
      </c>
      <c r="E36" s="735"/>
      <c r="F36" s="735"/>
      <c r="G36" s="735"/>
      <c r="H36" s="735"/>
      <c r="I36" s="735"/>
      <c r="J36" s="735"/>
      <c r="K36" s="735"/>
      <c r="L36" s="735"/>
      <c r="M36" s="735"/>
      <c r="N36" s="736" t="str">
        <f>IF(NOT(QUOTE_Split_SoftwareHardware),
IF(QUOTE_DetailedPrices,QCalc!P16,QCalc!O16),
IF(QUOTE_DetailedPrices,QCalc!W16,QCalc!V16))</f>
        <v/>
      </c>
      <c r="O36" s="737"/>
      <c r="P36" s="270" t="str">
        <f>IF(NOT(QUOTE_Split_SoftwareHardware),QCalc!R16,QCalc!Y16)</f>
        <v/>
      </c>
      <c r="Q36" s="271" t="str">
        <f>IF(NOT(QUOTE_Split_SoftwareHardware),QCalc!S16,QCalc!Z16)</f>
        <v/>
      </c>
      <c r="S36" s="89"/>
      <c r="T36" s="78" t="str">
        <f>IF(AND(U36&gt;0,U36&lt;&gt;"",AND(LEFT(V36,7)&lt;&gt;"   • Wi",LEFT(V36,7)&lt;&gt;"   • XL")),
COUNT($U$23:U36)
+IF(NOT(QUOTE_Split_SoftwareHardware),MAX($B$23:$B$53),0),"")</f>
        <v/>
      </c>
      <c r="U36" s="87" t="str">
        <f>IF(NOT(QUOTE_Split_SoftwareHardware),QCalc!Q47,QCalc!AE16)</f>
        <v/>
      </c>
      <c r="V36" s="734" t="str">
        <f>IF(NOT(QUOTE_Split_SoftwareHardware),QCalc!N47,QCalc!AB16)</f>
        <v/>
      </c>
      <c r="W36" s="735"/>
      <c r="X36" s="735"/>
      <c r="Y36" s="735"/>
      <c r="Z36" s="735"/>
      <c r="AA36" s="735"/>
      <c r="AB36" s="735"/>
      <c r="AC36" s="735"/>
      <c r="AD36" s="735"/>
      <c r="AE36" s="735"/>
      <c r="AF36" s="736" t="str">
        <f>IF(NOT(QUOTE_Split_SoftwareHardware),
IF(QUOTE_DetailedPrices,QCalc!P47,QCalc!O47),
IF(QUOTE_DetailedPrices,QCalc!AD16,QCalc!AC16))</f>
        <v/>
      </c>
      <c r="AG36" s="737"/>
      <c r="AH36" s="270" t="str">
        <f>IF(NOT(QUOTE_Split_SoftwareHardware),QCalc!R47,QCalc!AF16)</f>
        <v/>
      </c>
      <c r="AI36" s="271" t="str">
        <f>IF(NOT(QUOTE_Split_SoftwareHardware),QCalc!S47,QCalc!AG16)</f>
        <v/>
      </c>
    </row>
    <row r="37" spans="1:35" ht="11" customHeight="1" x14ac:dyDescent="0.2">
      <c r="A37" s="89"/>
      <c r="B37" s="78" t="str">
        <f>IF(AND(C37&gt;0,C37&lt;&gt;"",AND(LEFT(D37,7)&lt;&gt;"   • Wi",LEFT(D37,7)&lt;&gt;"   • XL")),
COUNT($C$23:C37),"")</f>
        <v/>
      </c>
      <c r="C37" s="87" t="str">
        <f>IF(NOT(QUOTE_Split_SoftwareHardware),QCalc!Q17,QCalc!X17)</f>
        <v/>
      </c>
      <c r="D37" s="735" t="str">
        <f>IF(NOT(QUOTE_Split_SoftwareHardware),QCalc!N17,QCalc!U17)</f>
        <v/>
      </c>
      <c r="E37" s="735"/>
      <c r="F37" s="735"/>
      <c r="G37" s="735"/>
      <c r="H37" s="735"/>
      <c r="I37" s="735"/>
      <c r="J37" s="735"/>
      <c r="K37" s="735"/>
      <c r="L37" s="735"/>
      <c r="M37" s="735"/>
      <c r="N37" s="736" t="str">
        <f>IF(NOT(QUOTE_Split_SoftwareHardware),
IF(QUOTE_DetailedPrices,QCalc!P17,QCalc!O17),
IF(QUOTE_DetailedPrices,QCalc!W17,QCalc!V17))</f>
        <v/>
      </c>
      <c r="O37" s="737"/>
      <c r="P37" s="270" t="str">
        <f>IF(NOT(QUOTE_Split_SoftwareHardware),QCalc!R17,QCalc!Y17)</f>
        <v/>
      </c>
      <c r="Q37" s="271" t="str">
        <f>IF(NOT(QUOTE_Split_SoftwareHardware),QCalc!S17,QCalc!Z17)</f>
        <v/>
      </c>
      <c r="S37" s="89"/>
      <c r="T37" s="78" t="str">
        <f>IF(AND(U37&gt;0,U37&lt;&gt;"",AND(LEFT(V37,7)&lt;&gt;"   • Wi",LEFT(V37,7)&lt;&gt;"   • XL")),
COUNT($U$23:U37)
+IF(NOT(QUOTE_Split_SoftwareHardware),MAX($B$23:$B$53),0),"")</f>
        <v/>
      </c>
      <c r="U37" s="87" t="str">
        <f>IF(NOT(QUOTE_Split_SoftwareHardware),QCalc!Q48,QCalc!AE17)</f>
        <v/>
      </c>
      <c r="V37" s="734" t="str">
        <f>IF(NOT(QUOTE_Split_SoftwareHardware),QCalc!N48,QCalc!AB17)</f>
        <v/>
      </c>
      <c r="W37" s="735"/>
      <c r="X37" s="735"/>
      <c r="Y37" s="735"/>
      <c r="Z37" s="735"/>
      <c r="AA37" s="735"/>
      <c r="AB37" s="735"/>
      <c r="AC37" s="735"/>
      <c r="AD37" s="735"/>
      <c r="AE37" s="735"/>
      <c r="AF37" s="736" t="str">
        <f>IF(NOT(QUOTE_Split_SoftwareHardware),
IF(QUOTE_DetailedPrices,QCalc!P48,QCalc!O48),
IF(QUOTE_DetailedPrices,QCalc!AD17,QCalc!AC17))</f>
        <v/>
      </c>
      <c r="AG37" s="737"/>
      <c r="AH37" s="270" t="str">
        <f>IF(NOT(QUOTE_Split_SoftwareHardware),QCalc!R48,QCalc!AF17)</f>
        <v/>
      </c>
      <c r="AI37" s="271" t="str">
        <f>IF(NOT(QUOTE_Split_SoftwareHardware),QCalc!S48,QCalc!AG17)</f>
        <v/>
      </c>
    </row>
    <row r="38" spans="1:35" ht="11" customHeight="1" x14ac:dyDescent="0.2">
      <c r="A38" s="89"/>
      <c r="B38" s="78" t="str">
        <f>IF(AND(C38&gt;0,C38&lt;&gt;"",AND(LEFT(D38,7)&lt;&gt;"   • Wi",LEFT(D38,7)&lt;&gt;"   • XL")),
COUNT($C$23:C38),"")</f>
        <v/>
      </c>
      <c r="C38" s="87" t="str">
        <f>IF(NOT(QUOTE_Split_SoftwareHardware),QCalc!Q18,QCalc!X18)</f>
        <v/>
      </c>
      <c r="D38" s="735" t="str">
        <f>IF(NOT(QUOTE_Split_SoftwareHardware),QCalc!N18,QCalc!U18)</f>
        <v/>
      </c>
      <c r="E38" s="735"/>
      <c r="F38" s="735"/>
      <c r="G38" s="735"/>
      <c r="H38" s="735"/>
      <c r="I38" s="735"/>
      <c r="J38" s="735"/>
      <c r="K38" s="735"/>
      <c r="L38" s="735"/>
      <c r="M38" s="735"/>
      <c r="N38" s="736" t="str">
        <f>IF(NOT(QUOTE_Split_SoftwareHardware),
IF(QUOTE_DetailedPrices,QCalc!P18,QCalc!O18),
IF(QUOTE_DetailedPrices,QCalc!W18,QCalc!V18))</f>
        <v/>
      </c>
      <c r="O38" s="737"/>
      <c r="P38" s="270" t="str">
        <f>IF(NOT(QUOTE_Split_SoftwareHardware),QCalc!R18,QCalc!Y18)</f>
        <v/>
      </c>
      <c r="Q38" s="271" t="str">
        <f>IF(NOT(QUOTE_Split_SoftwareHardware),QCalc!S18,QCalc!Z18)</f>
        <v/>
      </c>
      <c r="S38" s="89"/>
      <c r="T38" s="78" t="str">
        <f>IF(AND(U38&gt;0,U38&lt;&gt;"",AND(LEFT(V38,7)&lt;&gt;"   • Wi",LEFT(V38,7)&lt;&gt;"   • XL")),
COUNT($U$23:U38)
+IF(NOT(QUOTE_Split_SoftwareHardware),MAX($B$23:$B$53),0),"")</f>
        <v/>
      </c>
      <c r="U38" s="87" t="str">
        <f>IF(NOT(QUOTE_Split_SoftwareHardware),QCalc!Q49,QCalc!AE18)</f>
        <v/>
      </c>
      <c r="V38" s="734" t="str">
        <f>IF(NOT(QUOTE_Split_SoftwareHardware),QCalc!N49,QCalc!AB18)</f>
        <v/>
      </c>
      <c r="W38" s="735"/>
      <c r="X38" s="735"/>
      <c r="Y38" s="735"/>
      <c r="Z38" s="735"/>
      <c r="AA38" s="735"/>
      <c r="AB38" s="735"/>
      <c r="AC38" s="735"/>
      <c r="AD38" s="735"/>
      <c r="AE38" s="735"/>
      <c r="AF38" s="736" t="str">
        <f>IF(NOT(QUOTE_Split_SoftwareHardware),
IF(QUOTE_DetailedPrices,QCalc!P49,QCalc!O49),
IF(QUOTE_DetailedPrices,QCalc!AD18,QCalc!AC18))</f>
        <v/>
      </c>
      <c r="AG38" s="737"/>
      <c r="AH38" s="270" t="str">
        <f>IF(NOT(QUOTE_Split_SoftwareHardware),QCalc!R49,QCalc!AF18)</f>
        <v/>
      </c>
      <c r="AI38" s="271" t="str">
        <f>IF(NOT(QUOTE_Split_SoftwareHardware),QCalc!S49,QCalc!AG18)</f>
        <v/>
      </c>
    </row>
    <row r="39" spans="1:35" ht="11" customHeight="1" x14ac:dyDescent="0.2">
      <c r="A39" s="89"/>
      <c r="B39" s="78" t="str">
        <f>IF(AND(C39&gt;0,C39&lt;&gt;"",AND(LEFT(D39,7)&lt;&gt;"   • Wi",LEFT(D39,7)&lt;&gt;"   • XL")),
COUNT($C$23:C39),"")</f>
        <v/>
      </c>
      <c r="C39" s="87" t="str">
        <f>IF(NOT(QUOTE_Split_SoftwareHardware),QCalc!Q19,QCalc!X19)</f>
        <v/>
      </c>
      <c r="D39" s="735" t="str">
        <f>IF(NOT(QUOTE_Split_SoftwareHardware),QCalc!N19,QCalc!U19)</f>
        <v/>
      </c>
      <c r="E39" s="735"/>
      <c r="F39" s="735"/>
      <c r="G39" s="735"/>
      <c r="H39" s="735"/>
      <c r="I39" s="735"/>
      <c r="J39" s="735"/>
      <c r="K39" s="735"/>
      <c r="L39" s="735"/>
      <c r="M39" s="735"/>
      <c r="N39" s="736" t="str">
        <f>IF(NOT(QUOTE_Split_SoftwareHardware),
IF(QUOTE_DetailedPrices,QCalc!P19,QCalc!O19),
IF(QUOTE_DetailedPrices,QCalc!W19,QCalc!V19))</f>
        <v/>
      </c>
      <c r="O39" s="737"/>
      <c r="P39" s="270" t="str">
        <f>IF(NOT(QUOTE_Split_SoftwareHardware),QCalc!R19,QCalc!Y19)</f>
        <v/>
      </c>
      <c r="Q39" s="271" t="str">
        <f>IF(NOT(QUOTE_Split_SoftwareHardware),QCalc!S19,QCalc!Z19)</f>
        <v/>
      </c>
      <c r="S39" s="89"/>
      <c r="T39" s="78" t="str">
        <f>IF(AND(U39&gt;0,U39&lt;&gt;"",AND(LEFT(V39,7)&lt;&gt;"   • Wi",LEFT(V39,7)&lt;&gt;"   • XL")),
COUNT($U$23:U39)
+IF(NOT(QUOTE_Split_SoftwareHardware),MAX($B$23:$B$53),0),"")</f>
        <v/>
      </c>
      <c r="U39" s="87" t="str">
        <f>IF(NOT(QUOTE_Split_SoftwareHardware),QCalc!Q50,QCalc!AE19)</f>
        <v/>
      </c>
      <c r="V39" s="734" t="str">
        <f>IF(NOT(QUOTE_Split_SoftwareHardware),QCalc!N50,QCalc!AB19)</f>
        <v/>
      </c>
      <c r="W39" s="735"/>
      <c r="X39" s="735"/>
      <c r="Y39" s="735"/>
      <c r="Z39" s="735"/>
      <c r="AA39" s="735"/>
      <c r="AB39" s="735"/>
      <c r="AC39" s="735"/>
      <c r="AD39" s="735"/>
      <c r="AE39" s="735"/>
      <c r="AF39" s="736" t="str">
        <f>IF(NOT(QUOTE_Split_SoftwareHardware),
IF(QUOTE_DetailedPrices,QCalc!P50,QCalc!O50),
IF(QUOTE_DetailedPrices,QCalc!AD19,QCalc!AC19))</f>
        <v/>
      </c>
      <c r="AG39" s="737"/>
      <c r="AH39" s="270" t="str">
        <f>IF(NOT(QUOTE_Split_SoftwareHardware),QCalc!R50,QCalc!AF19)</f>
        <v/>
      </c>
      <c r="AI39" s="271" t="str">
        <f>IF(NOT(QUOTE_Split_SoftwareHardware),QCalc!S50,QCalc!AG19)</f>
        <v/>
      </c>
    </row>
    <row r="40" spans="1:35" ht="11" customHeight="1" x14ac:dyDescent="0.2">
      <c r="A40" s="89"/>
      <c r="B40" s="78" t="str">
        <f>IF(AND(C40&gt;0,C40&lt;&gt;"",AND(LEFT(D40,7)&lt;&gt;"   • Wi",LEFT(D40,7)&lt;&gt;"   • XL")),
COUNT($C$23:C40),"")</f>
        <v/>
      </c>
      <c r="C40" s="87" t="str">
        <f>IF(NOT(QUOTE_Split_SoftwareHardware),QCalc!Q20,QCalc!X20)</f>
        <v/>
      </c>
      <c r="D40" s="735" t="str">
        <f>IF(NOT(QUOTE_Split_SoftwareHardware),QCalc!N20,QCalc!U20)</f>
        <v/>
      </c>
      <c r="E40" s="735"/>
      <c r="F40" s="735"/>
      <c r="G40" s="735"/>
      <c r="H40" s="735"/>
      <c r="I40" s="735"/>
      <c r="J40" s="735"/>
      <c r="K40" s="735"/>
      <c r="L40" s="735"/>
      <c r="M40" s="735"/>
      <c r="N40" s="736" t="str">
        <f>IF(NOT(QUOTE_Split_SoftwareHardware),
IF(QUOTE_DetailedPrices,QCalc!P20,QCalc!O20),
IF(QUOTE_DetailedPrices,QCalc!W20,QCalc!V20))</f>
        <v/>
      </c>
      <c r="O40" s="737"/>
      <c r="P40" s="270" t="str">
        <f>IF(NOT(QUOTE_Split_SoftwareHardware),QCalc!R20,QCalc!Y20)</f>
        <v/>
      </c>
      <c r="Q40" s="271" t="str">
        <f>IF(NOT(QUOTE_Split_SoftwareHardware),QCalc!S20,QCalc!Z20)</f>
        <v/>
      </c>
      <c r="S40" s="89"/>
      <c r="T40" s="78" t="str">
        <f>IF(AND(U40&gt;0,U40&lt;&gt;"",AND(LEFT(V40,7)&lt;&gt;"   • Wi",LEFT(V40,7)&lt;&gt;"   • XL")),
COUNT($U$23:U40)
+IF(NOT(QUOTE_Split_SoftwareHardware),MAX($B$23:$B$53),0),"")</f>
        <v/>
      </c>
      <c r="U40" s="87" t="str">
        <f>IF(NOT(QUOTE_Split_SoftwareHardware),QCalc!Q51,QCalc!AE20)</f>
        <v/>
      </c>
      <c r="V40" s="734" t="str">
        <f>IF(NOT(QUOTE_Split_SoftwareHardware),QCalc!N51,QCalc!AB20)</f>
        <v/>
      </c>
      <c r="W40" s="735"/>
      <c r="X40" s="735"/>
      <c r="Y40" s="735"/>
      <c r="Z40" s="735"/>
      <c r="AA40" s="735"/>
      <c r="AB40" s="735"/>
      <c r="AC40" s="735"/>
      <c r="AD40" s="735"/>
      <c r="AE40" s="735"/>
      <c r="AF40" s="736" t="str">
        <f>IF(NOT(QUOTE_Split_SoftwareHardware),
IF(QUOTE_DetailedPrices,QCalc!P51,QCalc!O51),
IF(QUOTE_DetailedPrices,QCalc!AD20,QCalc!AC20))</f>
        <v/>
      </c>
      <c r="AG40" s="737"/>
      <c r="AH40" s="270" t="str">
        <f>IF(NOT(QUOTE_Split_SoftwareHardware),QCalc!R51,QCalc!AF20)</f>
        <v/>
      </c>
      <c r="AI40" s="271" t="str">
        <f>IF(NOT(QUOTE_Split_SoftwareHardware),QCalc!S51,QCalc!AG20)</f>
        <v/>
      </c>
    </row>
    <row r="41" spans="1:35" ht="11" customHeight="1" x14ac:dyDescent="0.2">
      <c r="A41" s="89"/>
      <c r="B41" s="78" t="str">
        <f>IF(AND(C41&gt;0,C41&lt;&gt;"",AND(LEFT(D41,7)&lt;&gt;"   • Wi",LEFT(D41,7)&lt;&gt;"   • XL")),
COUNT($C$23:C41),"")</f>
        <v/>
      </c>
      <c r="C41" s="87" t="str">
        <f>IF(NOT(QUOTE_Split_SoftwareHardware),QCalc!Q21,QCalc!X21)</f>
        <v/>
      </c>
      <c r="D41" s="735" t="str">
        <f>IF(NOT(QUOTE_Split_SoftwareHardware),QCalc!N21,QCalc!U21)</f>
        <v/>
      </c>
      <c r="E41" s="735"/>
      <c r="F41" s="735"/>
      <c r="G41" s="735"/>
      <c r="H41" s="735"/>
      <c r="I41" s="735"/>
      <c r="J41" s="735"/>
      <c r="K41" s="735"/>
      <c r="L41" s="735"/>
      <c r="M41" s="735"/>
      <c r="N41" s="736" t="str">
        <f>IF(NOT(QUOTE_Split_SoftwareHardware),
IF(QUOTE_DetailedPrices,QCalc!P21,QCalc!O21),
IF(QUOTE_DetailedPrices,QCalc!W21,QCalc!V21))</f>
        <v/>
      </c>
      <c r="O41" s="737"/>
      <c r="P41" s="270" t="str">
        <f>IF(NOT(QUOTE_Split_SoftwareHardware),QCalc!R21,QCalc!Y21)</f>
        <v/>
      </c>
      <c r="Q41" s="271" t="str">
        <f>IF(NOT(QUOTE_Split_SoftwareHardware),QCalc!S21,QCalc!Z21)</f>
        <v/>
      </c>
      <c r="S41" s="89"/>
      <c r="T41" s="78" t="str">
        <f>IF(AND(U41&gt;0,U41&lt;&gt;"",AND(LEFT(V41,7)&lt;&gt;"   • Wi",LEFT(V41,7)&lt;&gt;"   • XL")),
COUNT($U$23:U41)
+IF(NOT(QUOTE_Split_SoftwareHardware),MAX($B$23:$B$53),0),"")</f>
        <v/>
      </c>
      <c r="U41" s="87" t="str">
        <f>IF(NOT(QUOTE_Split_SoftwareHardware),QCalc!Q52,QCalc!AE21)</f>
        <v/>
      </c>
      <c r="V41" s="734" t="str">
        <f>IF(NOT(QUOTE_Split_SoftwareHardware),QCalc!N52,QCalc!AB21)</f>
        <v/>
      </c>
      <c r="W41" s="735"/>
      <c r="X41" s="735"/>
      <c r="Y41" s="735"/>
      <c r="Z41" s="735"/>
      <c r="AA41" s="735"/>
      <c r="AB41" s="735"/>
      <c r="AC41" s="735"/>
      <c r="AD41" s="735"/>
      <c r="AE41" s="735"/>
      <c r="AF41" s="736" t="str">
        <f>IF(NOT(QUOTE_Split_SoftwareHardware),
IF(QUOTE_DetailedPrices,QCalc!P52,QCalc!O52),
IF(QUOTE_DetailedPrices,QCalc!AD21,QCalc!AC21))</f>
        <v/>
      </c>
      <c r="AG41" s="737"/>
      <c r="AH41" s="270" t="str">
        <f>IF(NOT(QUOTE_Split_SoftwareHardware),QCalc!R52,QCalc!AF21)</f>
        <v/>
      </c>
      <c r="AI41" s="271" t="str">
        <f>IF(NOT(QUOTE_Split_SoftwareHardware),QCalc!S52,QCalc!AG21)</f>
        <v/>
      </c>
    </row>
    <row r="42" spans="1:35" ht="11" customHeight="1" x14ac:dyDescent="0.2">
      <c r="A42" s="89"/>
      <c r="B42" s="78" t="str">
        <f>IF(AND(C42&gt;0,C42&lt;&gt;"",AND(LEFT(D42,7)&lt;&gt;"   • Wi",LEFT(D42,7)&lt;&gt;"   • XL")),
COUNT($C$23:C42),"")</f>
        <v/>
      </c>
      <c r="C42" s="87" t="str">
        <f>IF(NOT(QUOTE_Split_SoftwareHardware),QCalc!Q22,QCalc!X22)</f>
        <v/>
      </c>
      <c r="D42" s="735" t="str">
        <f>IF(NOT(QUOTE_Split_SoftwareHardware),QCalc!N22,QCalc!U22)</f>
        <v/>
      </c>
      <c r="E42" s="735"/>
      <c r="F42" s="735"/>
      <c r="G42" s="735"/>
      <c r="H42" s="735"/>
      <c r="I42" s="735"/>
      <c r="J42" s="735"/>
      <c r="K42" s="735"/>
      <c r="L42" s="735"/>
      <c r="M42" s="735"/>
      <c r="N42" s="736" t="str">
        <f>IF(NOT(QUOTE_Split_SoftwareHardware),
IF(QUOTE_DetailedPrices,QCalc!P22,QCalc!O22),
IF(QUOTE_DetailedPrices,QCalc!W22,QCalc!V22))</f>
        <v/>
      </c>
      <c r="O42" s="737"/>
      <c r="P42" s="270" t="str">
        <f>IF(NOT(QUOTE_Split_SoftwareHardware),QCalc!R22,QCalc!Y22)</f>
        <v/>
      </c>
      <c r="Q42" s="271" t="str">
        <f>IF(NOT(QUOTE_Split_SoftwareHardware),QCalc!S22,QCalc!Z22)</f>
        <v/>
      </c>
      <c r="S42" s="89"/>
      <c r="T42" s="78" t="str">
        <f>IF(AND(U42&gt;0,U42&lt;&gt;"",AND(LEFT(V42,7)&lt;&gt;"   • Wi",LEFT(V42,7)&lt;&gt;"   • XL")),
COUNT($U$23:U42)
+IF(NOT(QUOTE_Split_SoftwareHardware),MAX($B$23:$B$53),0),"")</f>
        <v/>
      </c>
      <c r="U42" s="87" t="str">
        <f>IF(NOT(QUOTE_Split_SoftwareHardware),QCalc!Q53,QCalc!AE22)</f>
        <v/>
      </c>
      <c r="V42" s="734" t="str">
        <f>IF(NOT(QUOTE_Split_SoftwareHardware),QCalc!N53,QCalc!AB22)</f>
        <v/>
      </c>
      <c r="W42" s="735"/>
      <c r="X42" s="735"/>
      <c r="Y42" s="735"/>
      <c r="Z42" s="735"/>
      <c r="AA42" s="735"/>
      <c r="AB42" s="735"/>
      <c r="AC42" s="735"/>
      <c r="AD42" s="735"/>
      <c r="AE42" s="735"/>
      <c r="AF42" s="736" t="str">
        <f>IF(NOT(QUOTE_Split_SoftwareHardware),
IF(QUOTE_DetailedPrices,QCalc!P53,QCalc!O53),
IF(QUOTE_DetailedPrices,QCalc!AD22,QCalc!AC22))</f>
        <v/>
      </c>
      <c r="AG42" s="737"/>
      <c r="AH42" s="270" t="str">
        <f>IF(NOT(QUOTE_Split_SoftwareHardware),QCalc!R53,QCalc!AF22)</f>
        <v/>
      </c>
      <c r="AI42" s="271" t="str">
        <f>IF(NOT(QUOTE_Split_SoftwareHardware),QCalc!S53,QCalc!AG22)</f>
        <v/>
      </c>
    </row>
    <row r="43" spans="1:35" ht="11" customHeight="1" x14ac:dyDescent="0.2">
      <c r="A43" s="89"/>
      <c r="B43" s="78" t="str">
        <f>IF(AND(C43&gt;0,C43&lt;&gt;"",AND(LEFT(D43,7)&lt;&gt;"   • Wi",LEFT(D43,7)&lt;&gt;"   • XL")),
COUNT($C$23:C43),"")</f>
        <v/>
      </c>
      <c r="C43" s="87" t="str">
        <f>IF(NOT(QUOTE_Split_SoftwareHardware),QCalc!Q23,QCalc!X23)</f>
        <v/>
      </c>
      <c r="D43" s="735" t="str">
        <f>IF(NOT(QUOTE_Split_SoftwareHardware),QCalc!N23,QCalc!U23)</f>
        <v/>
      </c>
      <c r="E43" s="735"/>
      <c r="F43" s="735"/>
      <c r="G43" s="735"/>
      <c r="H43" s="735"/>
      <c r="I43" s="735"/>
      <c r="J43" s="735"/>
      <c r="K43" s="735"/>
      <c r="L43" s="735"/>
      <c r="M43" s="735"/>
      <c r="N43" s="736" t="str">
        <f>IF(NOT(QUOTE_Split_SoftwareHardware),
IF(QUOTE_DetailedPrices,QCalc!P23,QCalc!O23),
IF(QUOTE_DetailedPrices,QCalc!W23,QCalc!V23))</f>
        <v/>
      </c>
      <c r="O43" s="737"/>
      <c r="P43" s="270" t="str">
        <f>IF(NOT(QUOTE_Split_SoftwareHardware),QCalc!R23,QCalc!Y23)</f>
        <v/>
      </c>
      <c r="Q43" s="271" t="str">
        <f>IF(NOT(QUOTE_Split_SoftwareHardware),QCalc!S23,QCalc!Z23)</f>
        <v/>
      </c>
      <c r="S43" s="89"/>
      <c r="T43" s="78" t="str">
        <f>IF(AND(U43&gt;0,U43&lt;&gt;"",AND(LEFT(V43,7)&lt;&gt;"   • Wi",LEFT(V43,7)&lt;&gt;"   • XL")),
COUNT($U$23:U43)
+IF(NOT(QUOTE_Split_SoftwareHardware),MAX($B$23:$B$53),0),"")</f>
        <v/>
      </c>
      <c r="U43" s="87" t="str">
        <f>IF(NOT(QUOTE_Split_SoftwareHardware),QCalc!Q54,QCalc!AE23)</f>
        <v/>
      </c>
      <c r="V43" s="734" t="str">
        <f>IF(NOT(QUOTE_Split_SoftwareHardware),QCalc!N54,QCalc!AB23)</f>
        <v/>
      </c>
      <c r="W43" s="735"/>
      <c r="X43" s="735"/>
      <c r="Y43" s="735"/>
      <c r="Z43" s="735"/>
      <c r="AA43" s="735"/>
      <c r="AB43" s="735"/>
      <c r="AC43" s="735"/>
      <c r="AD43" s="735"/>
      <c r="AE43" s="735"/>
      <c r="AF43" s="736" t="str">
        <f>IF(NOT(QUOTE_Split_SoftwareHardware),
IF(QUOTE_DetailedPrices,QCalc!P54,QCalc!O54),
IF(QUOTE_DetailedPrices,QCalc!AD23,QCalc!AC23))</f>
        <v/>
      </c>
      <c r="AG43" s="737"/>
      <c r="AH43" s="270" t="str">
        <f>IF(NOT(QUOTE_Split_SoftwareHardware),QCalc!R54,QCalc!AF23)</f>
        <v/>
      </c>
      <c r="AI43" s="271" t="str">
        <f>IF(NOT(QUOTE_Split_SoftwareHardware),QCalc!S54,QCalc!AG23)</f>
        <v/>
      </c>
    </row>
    <row r="44" spans="1:35" ht="11" customHeight="1" x14ac:dyDescent="0.2">
      <c r="A44" s="89"/>
      <c r="B44" s="78" t="str">
        <f>IF(AND(C44&gt;0,C44&lt;&gt;"",AND(LEFT(D44,7)&lt;&gt;"   • Wi",LEFT(D44,7)&lt;&gt;"   • XL")),
COUNT($C$23:C44),"")</f>
        <v/>
      </c>
      <c r="C44" s="87" t="str">
        <f>IF(NOT(QUOTE_Split_SoftwareHardware),QCalc!Q24,QCalc!X24)</f>
        <v/>
      </c>
      <c r="D44" s="735" t="str">
        <f>IF(NOT(QUOTE_Split_SoftwareHardware),QCalc!N24,QCalc!U24)</f>
        <v/>
      </c>
      <c r="E44" s="735"/>
      <c r="F44" s="735"/>
      <c r="G44" s="735"/>
      <c r="H44" s="735"/>
      <c r="I44" s="735"/>
      <c r="J44" s="735"/>
      <c r="K44" s="735"/>
      <c r="L44" s="735"/>
      <c r="M44" s="735"/>
      <c r="N44" s="736" t="str">
        <f>IF(NOT(QUOTE_Split_SoftwareHardware),
IF(QUOTE_DetailedPrices,QCalc!P24,QCalc!O24),
IF(QUOTE_DetailedPrices,QCalc!W24,QCalc!V24))</f>
        <v/>
      </c>
      <c r="O44" s="737"/>
      <c r="P44" s="270" t="str">
        <f>IF(NOT(QUOTE_Split_SoftwareHardware),QCalc!R24,QCalc!Y24)</f>
        <v/>
      </c>
      <c r="Q44" s="271" t="str">
        <f>IF(NOT(QUOTE_Split_SoftwareHardware),QCalc!S24,QCalc!Z24)</f>
        <v/>
      </c>
      <c r="S44" s="89"/>
      <c r="T44" s="78" t="str">
        <f>IF(AND(U44&gt;0,U44&lt;&gt;"",AND(LEFT(V44,7)&lt;&gt;"   • Wi",LEFT(V44,7)&lt;&gt;"   • XL")),
COUNT($U$23:U44)
+IF(NOT(QUOTE_Split_SoftwareHardware),MAX($B$23:$B$53),0),"")</f>
        <v/>
      </c>
      <c r="U44" s="87" t="str">
        <f>IF(NOT(QUOTE_Split_SoftwareHardware),QCalc!Q55,QCalc!AE24)</f>
        <v/>
      </c>
      <c r="V44" s="734" t="str">
        <f>IF(NOT(QUOTE_Split_SoftwareHardware),QCalc!N55,QCalc!AB24)</f>
        <v/>
      </c>
      <c r="W44" s="735"/>
      <c r="X44" s="735"/>
      <c r="Y44" s="735"/>
      <c r="Z44" s="735"/>
      <c r="AA44" s="735"/>
      <c r="AB44" s="735"/>
      <c r="AC44" s="735"/>
      <c r="AD44" s="735"/>
      <c r="AE44" s="735"/>
      <c r="AF44" s="736" t="str">
        <f>IF(NOT(QUOTE_Split_SoftwareHardware),
IF(QUOTE_DetailedPrices,QCalc!P55,QCalc!O55),
IF(QUOTE_DetailedPrices,QCalc!AD24,QCalc!AC24))</f>
        <v/>
      </c>
      <c r="AG44" s="737"/>
      <c r="AH44" s="270" t="str">
        <f>IF(NOT(QUOTE_Split_SoftwareHardware),QCalc!R55,QCalc!AF24)</f>
        <v/>
      </c>
      <c r="AI44" s="271" t="str">
        <f>IF(NOT(QUOTE_Split_SoftwareHardware),QCalc!S55,QCalc!AG24)</f>
        <v/>
      </c>
    </row>
    <row r="45" spans="1:35" ht="11" customHeight="1" x14ac:dyDescent="0.2">
      <c r="A45" s="89"/>
      <c r="B45" s="78" t="str">
        <f>IF(AND(C45&gt;0,C45&lt;&gt;"",AND(LEFT(D45,7)&lt;&gt;"   • Wi",LEFT(D45,7)&lt;&gt;"   • XL")),
COUNT($C$23:C45),"")</f>
        <v/>
      </c>
      <c r="C45" s="87" t="str">
        <f>IF(NOT(QUOTE_Split_SoftwareHardware),QCalc!Q25,QCalc!X25)</f>
        <v/>
      </c>
      <c r="D45" s="735" t="str">
        <f>IF(NOT(QUOTE_Split_SoftwareHardware),QCalc!N25,QCalc!U25)</f>
        <v/>
      </c>
      <c r="E45" s="735"/>
      <c r="F45" s="735"/>
      <c r="G45" s="735"/>
      <c r="H45" s="735"/>
      <c r="I45" s="735"/>
      <c r="J45" s="735"/>
      <c r="K45" s="735"/>
      <c r="L45" s="735"/>
      <c r="M45" s="735"/>
      <c r="N45" s="736" t="str">
        <f>IF(NOT(QUOTE_Split_SoftwareHardware),
IF(QUOTE_DetailedPrices,QCalc!P25,QCalc!O25),
IF(QUOTE_DetailedPrices,QCalc!W25,QCalc!V25))</f>
        <v/>
      </c>
      <c r="O45" s="737"/>
      <c r="P45" s="270" t="str">
        <f>IF(NOT(QUOTE_Split_SoftwareHardware),QCalc!R25,QCalc!Y25)</f>
        <v/>
      </c>
      <c r="Q45" s="271" t="str">
        <f>IF(NOT(QUOTE_Split_SoftwareHardware),QCalc!S25,QCalc!Z25)</f>
        <v/>
      </c>
      <c r="S45" s="89"/>
      <c r="T45" s="78" t="str">
        <f>IF(AND(U45&gt;0,U45&lt;&gt;"",AND(LEFT(V45,7)&lt;&gt;"   • Wi",LEFT(V45,7)&lt;&gt;"   • XL")),
COUNT($U$23:U45)
+IF(NOT(QUOTE_Split_SoftwareHardware),MAX($B$23:$B$53),0),"")</f>
        <v/>
      </c>
      <c r="U45" s="87" t="str">
        <f>IF(NOT(QUOTE_Split_SoftwareHardware),QCalc!Q56,QCalc!AE25)</f>
        <v/>
      </c>
      <c r="V45" s="734" t="str">
        <f>IF(NOT(QUOTE_Split_SoftwareHardware),QCalc!N56,QCalc!AB25)</f>
        <v/>
      </c>
      <c r="W45" s="735"/>
      <c r="X45" s="735"/>
      <c r="Y45" s="735"/>
      <c r="Z45" s="735"/>
      <c r="AA45" s="735"/>
      <c r="AB45" s="735"/>
      <c r="AC45" s="735"/>
      <c r="AD45" s="735"/>
      <c r="AE45" s="735"/>
      <c r="AF45" s="736" t="str">
        <f>IF(NOT(QUOTE_Split_SoftwareHardware),
IF(QUOTE_DetailedPrices,QCalc!P56,QCalc!O56),
IF(QUOTE_DetailedPrices,QCalc!AD25,QCalc!AC25))</f>
        <v/>
      </c>
      <c r="AG45" s="737"/>
      <c r="AH45" s="270" t="str">
        <f>IF(NOT(QUOTE_Split_SoftwareHardware),QCalc!R56,QCalc!AF25)</f>
        <v/>
      </c>
      <c r="AI45" s="271" t="str">
        <f>IF(NOT(QUOTE_Split_SoftwareHardware),QCalc!S56,QCalc!AG25)</f>
        <v/>
      </c>
    </row>
    <row r="46" spans="1:35" ht="11" customHeight="1" x14ac:dyDescent="0.2">
      <c r="A46" s="89"/>
      <c r="B46" s="78" t="str">
        <f>IF(AND(C46&gt;0,C46&lt;&gt;"",AND(LEFT(D46,7)&lt;&gt;"   • Wi",LEFT(D46,7)&lt;&gt;"   • XL")),
COUNT($C$23:C46),"")</f>
        <v/>
      </c>
      <c r="C46" s="87" t="str">
        <f>IF(NOT(QUOTE_Split_SoftwareHardware),QCalc!Q26,QCalc!X26)</f>
        <v/>
      </c>
      <c r="D46" s="735" t="str">
        <f>IF(NOT(QUOTE_Split_SoftwareHardware),QCalc!N26,QCalc!U26)</f>
        <v/>
      </c>
      <c r="E46" s="735"/>
      <c r="F46" s="735"/>
      <c r="G46" s="735"/>
      <c r="H46" s="735"/>
      <c r="I46" s="735"/>
      <c r="J46" s="735"/>
      <c r="K46" s="735"/>
      <c r="L46" s="735"/>
      <c r="M46" s="735"/>
      <c r="N46" s="736" t="str">
        <f>IF(NOT(QUOTE_Split_SoftwareHardware),
IF(QUOTE_DetailedPrices,QCalc!P26,QCalc!O26),
IF(QUOTE_DetailedPrices,QCalc!W26,QCalc!V26))</f>
        <v/>
      </c>
      <c r="O46" s="737"/>
      <c r="P46" s="270" t="str">
        <f>IF(NOT(QUOTE_Split_SoftwareHardware),QCalc!R26,QCalc!Y26)</f>
        <v/>
      </c>
      <c r="Q46" s="271" t="str">
        <f>IF(NOT(QUOTE_Split_SoftwareHardware),QCalc!S26,QCalc!Z26)</f>
        <v/>
      </c>
      <c r="S46" s="89"/>
      <c r="T46" s="78" t="str">
        <f>IF(AND(U46&gt;0,U46&lt;&gt;"",AND(LEFT(V46,7)&lt;&gt;"   • Wi",LEFT(V46,7)&lt;&gt;"   • XL")),
COUNT($U$23:U46)
+IF(NOT(QUOTE_Split_SoftwareHardware),MAX($B$23:$B$53),0),"")</f>
        <v/>
      </c>
      <c r="U46" s="87" t="str">
        <f>IF(NOT(QUOTE_Split_SoftwareHardware),QCalc!Q57,QCalc!AE26)</f>
        <v/>
      </c>
      <c r="V46" s="734" t="str">
        <f>IF(NOT(QUOTE_Split_SoftwareHardware),QCalc!N57,QCalc!AB26)</f>
        <v/>
      </c>
      <c r="W46" s="735"/>
      <c r="X46" s="735"/>
      <c r="Y46" s="735"/>
      <c r="Z46" s="735"/>
      <c r="AA46" s="735"/>
      <c r="AB46" s="735"/>
      <c r="AC46" s="735"/>
      <c r="AD46" s="735"/>
      <c r="AE46" s="735"/>
      <c r="AF46" s="736" t="str">
        <f>IF(NOT(QUOTE_Split_SoftwareHardware),
IF(QUOTE_DetailedPrices,QCalc!P57,QCalc!O57),
IF(QUOTE_DetailedPrices,QCalc!AD26,QCalc!AC26))</f>
        <v/>
      </c>
      <c r="AG46" s="737"/>
      <c r="AH46" s="270" t="str">
        <f>IF(NOT(QUOTE_Split_SoftwareHardware),QCalc!R57,QCalc!AF26)</f>
        <v/>
      </c>
      <c r="AI46" s="271" t="str">
        <f>IF(NOT(QUOTE_Split_SoftwareHardware),QCalc!S57,QCalc!AG26)</f>
        <v/>
      </c>
    </row>
    <row r="47" spans="1:35" ht="11" customHeight="1" x14ac:dyDescent="0.2">
      <c r="A47" s="89"/>
      <c r="B47" s="78" t="str">
        <f>IF(AND(C47&gt;0,C47&lt;&gt;"",AND(LEFT(D47,7)&lt;&gt;"   • Wi",LEFT(D47,7)&lt;&gt;"   • XL")),
COUNT($C$23:C47),"")</f>
        <v/>
      </c>
      <c r="C47" s="87" t="str">
        <f>IF(NOT(QUOTE_Split_SoftwareHardware),QCalc!Q27,QCalc!X27)</f>
        <v/>
      </c>
      <c r="D47" s="735" t="str">
        <f>IF(NOT(QUOTE_Split_SoftwareHardware),QCalc!N27,QCalc!U27)</f>
        <v/>
      </c>
      <c r="E47" s="735"/>
      <c r="F47" s="735"/>
      <c r="G47" s="735"/>
      <c r="H47" s="735"/>
      <c r="I47" s="735"/>
      <c r="J47" s="735"/>
      <c r="K47" s="735"/>
      <c r="L47" s="735"/>
      <c r="M47" s="735"/>
      <c r="N47" s="736" t="str">
        <f>IF(NOT(QUOTE_Split_SoftwareHardware),
IF(QUOTE_DetailedPrices,QCalc!P27,QCalc!O27),
IF(QUOTE_DetailedPrices,QCalc!W27,QCalc!V27))</f>
        <v/>
      </c>
      <c r="O47" s="737"/>
      <c r="P47" s="270" t="str">
        <f>IF(NOT(QUOTE_Split_SoftwareHardware),QCalc!R27,QCalc!Y27)</f>
        <v/>
      </c>
      <c r="Q47" s="271" t="str">
        <f>IF(NOT(QUOTE_Split_SoftwareHardware),QCalc!S27,QCalc!Z27)</f>
        <v/>
      </c>
      <c r="S47" s="89"/>
      <c r="T47" s="78" t="str">
        <f>IF(AND(U47&gt;0,U47&lt;&gt;"",AND(LEFT(V47,7)&lt;&gt;"   • Wi",LEFT(V47,7)&lt;&gt;"   • XL")),
COUNT($U$23:U47)
+IF(NOT(QUOTE_Split_SoftwareHardware),MAX($B$23:$B$53),0),"")</f>
        <v/>
      </c>
      <c r="U47" s="87" t="str">
        <f>IF(NOT(QUOTE_Split_SoftwareHardware),QCalc!Q58,QCalc!AE27)</f>
        <v/>
      </c>
      <c r="V47" s="734" t="str">
        <f>IF(NOT(QUOTE_Split_SoftwareHardware),QCalc!N58,QCalc!AB27)</f>
        <v/>
      </c>
      <c r="W47" s="735"/>
      <c r="X47" s="735"/>
      <c r="Y47" s="735"/>
      <c r="Z47" s="735"/>
      <c r="AA47" s="735"/>
      <c r="AB47" s="735"/>
      <c r="AC47" s="735"/>
      <c r="AD47" s="735"/>
      <c r="AE47" s="735"/>
      <c r="AF47" s="736" t="str">
        <f>IF(NOT(QUOTE_Split_SoftwareHardware),
IF(QUOTE_DetailedPrices,QCalc!P58,QCalc!O58),
IF(QUOTE_DetailedPrices,QCalc!AD27,QCalc!AC27))</f>
        <v/>
      </c>
      <c r="AG47" s="737"/>
      <c r="AH47" s="270" t="str">
        <f>IF(NOT(QUOTE_Split_SoftwareHardware),QCalc!R58,QCalc!AF27)</f>
        <v/>
      </c>
      <c r="AI47" s="271" t="str">
        <f>IF(NOT(QUOTE_Split_SoftwareHardware),QCalc!S58,QCalc!AG27)</f>
        <v/>
      </c>
    </row>
    <row r="48" spans="1:35" ht="11" customHeight="1" x14ac:dyDescent="0.2">
      <c r="A48" s="89"/>
      <c r="B48" s="78" t="str">
        <f>IF(AND(C48&gt;0,C48&lt;&gt;"",AND(LEFT(D48,7)&lt;&gt;"   • Wi",LEFT(D48,7)&lt;&gt;"   • XL")),
COUNT($C$23:C48),"")</f>
        <v/>
      </c>
      <c r="C48" s="87" t="str">
        <f>IF(NOT(QUOTE_Split_SoftwareHardware),QCalc!Q28,QCalc!X28)</f>
        <v/>
      </c>
      <c r="D48" s="735" t="str">
        <f>IF(NOT(QUOTE_Split_SoftwareHardware),QCalc!N28,QCalc!U28)</f>
        <v/>
      </c>
      <c r="E48" s="735"/>
      <c r="F48" s="735"/>
      <c r="G48" s="735"/>
      <c r="H48" s="735"/>
      <c r="I48" s="735"/>
      <c r="J48" s="735"/>
      <c r="K48" s="735"/>
      <c r="L48" s="735"/>
      <c r="M48" s="735"/>
      <c r="N48" s="736" t="str">
        <f>IF(NOT(QUOTE_Split_SoftwareHardware),
IF(QUOTE_DetailedPrices,QCalc!P28,QCalc!O28),
IF(QUOTE_DetailedPrices,QCalc!W28,QCalc!V28))</f>
        <v/>
      </c>
      <c r="O48" s="737"/>
      <c r="P48" s="270" t="str">
        <f>IF(NOT(QUOTE_Split_SoftwareHardware),QCalc!R28,QCalc!Y28)</f>
        <v/>
      </c>
      <c r="Q48" s="271" t="str">
        <f>IF(NOT(QUOTE_Split_SoftwareHardware),QCalc!S28,QCalc!Z28)</f>
        <v/>
      </c>
      <c r="S48" s="89"/>
      <c r="T48" s="78" t="str">
        <f>IF(AND(U48&gt;0,U48&lt;&gt;"",AND(LEFT(V48,7)&lt;&gt;"   • Wi",LEFT(V48,7)&lt;&gt;"   • XL")),
COUNT($U$23:U48)
+IF(NOT(QUOTE_Split_SoftwareHardware),MAX($B$23:$B$53),0),"")</f>
        <v/>
      </c>
      <c r="U48" s="87" t="str">
        <f>IF(NOT(QUOTE_Split_SoftwareHardware),QCalc!Q59,QCalc!AE28)</f>
        <v/>
      </c>
      <c r="V48" s="734" t="str">
        <f>IF(NOT(QUOTE_Split_SoftwareHardware),QCalc!N59,QCalc!AB28)</f>
        <v/>
      </c>
      <c r="W48" s="735"/>
      <c r="X48" s="735"/>
      <c r="Y48" s="735"/>
      <c r="Z48" s="735"/>
      <c r="AA48" s="735"/>
      <c r="AB48" s="735"/>
      <c r="AC48" s="735"/>
      <c r="AD48" s="735"/>
      <c r="AE48" s="735"/>
      <c r="AF48" s="736" t="str">
        <f>IF(NOT(QUOTE_Split_SoftwareHardware),
IF(QUOTE_DetailedPrices,QCalc!P59,QCalc!O59),
IF(QUOTE_DetailedPrices,QCalc!AD28,QCalc!AC28))</f>
        <v/>
      </c>
      <c r="AG48" s="737"/>
      <c r="AH48" s="270" t="str">
        <f>IF(NOT(QUOTE_Split_SoftwareHardware),QCalc!R59,QCalc!AF28)</f>
        <v/>
      </c>
      <c r="AI48" s="271" t="str">
        <f>IF(NOT(QUOTE_Split_SoftwareHardware),QCalc!S59,QCalc!AG28)</f>
        <v/>
      </c>
    </row>
    <row r="49" spans="1:35" ht="11" customHeight="1" x14ac:dyDescent="0.2">
      <c r="A49" s="89"/>
      <c r="B49" s="78" t="str">
        <f>IF(AND(C49&gt;0,C49&lt;&gt;"",AND(LEFT(D49,7)&lt;&gt;"   • Wi",LEFT(D49,7)&lt;&gt;"   • XL")),
COUNT($C$23:C49),"")</f>
        <v/>
      </c>
      <c r="C49" s="87" t="str">
        <f>IF(NOT(QUOTE_Split_SoftwareHardware),QCalc!Q29,QCalc!X29)</f>
        <v/>
      </c>
      <c r="D49" s="735" t="str">
        <f>IF(NOT(QUOTE_Split_SoftwareHardware),QCalc!N29,QCalc!U29)</f>
        <v/>
      </c>
      <c r="E49" s="735"/>
      <c r="F49" s="735"/>
      <c r="G49" s="735"/>
      <c r="H49" s="735"/>
      <c r="I49" s="735"/>
      <c r="J49" s="735"/>
      <c r="K49" s="735"/>
      <c r="L49" s="735"/>
      <c r="M49" s="735"/>
      <c r="N49" s="736" t="str">
        <f>IF(NOT(QUOTE_Split_SoftwareHardware),
IF(QUOTE_DetailedPrices,QCalc!P29,QCalc!O29),
IF(QUOTE_DetailedPrices,QCalc!W29,QCalc!V29))</f>
        <v/>
      </c>
      <c r="O49" s="737"/>
      <c r="P49" s="270" t="str">
        <f>IF(NOT(QUOTE_Split_SoftwareHardware),QCalc!R29,QCalc!Y29)</f>
        <v/>
      </c>
      <c r="Q49" s="271" t="str">
        <f>IF(NOT(QUOTE_Split_SoftwareHardware),QCalc!S29,QCalc!Z29)</f>
        <v/>
      </c>
      <c r="S49" s="89"/>
      <c r="T49" s="78" t="str">
        <f>IF(AND(U49&gt;0,U49&lt;&gt;"",AND(LEFT(V49,7)&lt;&gt;"   • Wi",LEFT(V49,7)&lt;&gt;"   • XL")),
COUNT($U$23:U49)
+IF(NOT(QUOTE_Split_SoftwareHardware),MAX($B$23:$B$53),0),"")</f>
        <v/>
      </c>
      <c r="U49" s="87" t="str">
        <f>IF(NOT(QUOTE_Split_SoftwareHardware),QCalc!Q60,QCalc!AE29)</f>
        <v/>
      </c>
      <c r="V49" s="734" t="str">
        <f>IF(NOT(QUOTE_Split_SoftwareHardware),QCalc!N60,QCalc!AB29)</f>
        <v/>
      </c>
      <c r="W49" s="735"/>
      <c r="X49" s="735"/>
      <c r="Y49" s="735"/>
      <c r="Z49" s="735"/>
      <c r="AA49" s="735"/>
      <c r="AB49" s="735"/>
      <c r="AC49" s="735"/>
      <c r="AD49" s="735"/>
      <c r="AE49" s="735"/>
      <c r="AF49" s="736" t="str">
        <f>IF(NOT(QUOTE_Split_SoftwareHardware),
IF(QUOTE_DetailedPrices,QCalc!P60,QCalc!O60),
IF(QUOTE_DetailedPrices,QCalc!AD29,QCalc!AC29))</f>
        <v/>
      </c>
      <c r="AG49" s="737"/>
      <c r="AH49" s="270" t="str">
        <f>IF(NOT(QUOTE_Split_SoftwareHardware),QCalc!R60,QCalc!AF29)</f>
        <v/>
      </c>
      <c r="AI49" s="271" t="str">
        <f>IF(NOT(QUOTE_Split_SoftwareHardware),QCalc!S60,QCalc!AG29)</f>
        <v/>
      </c>
    </row>
    <row r="50" spans="1:35" ht="11" customHeight="1" x14ac:dyDescent="0.2">
      <c r="A50" s="89"/>
      <c r="B50" s="78" t="str">
        <f>IF(AND(C50&gt;0,C50&lt;&gt;"",AND(LEFT(D50,7)&lt;&gt;"   • Wi",LEFT(D50,7)&lt;&gt;"   • XL")),
COUNT($C$23:C50),"")</f>
        <v/>
      </c>
      <c r="C50" s="87" t="str">
        <f>IF(NOT(QUOTE_Split_SoftwareHardware),QCalc!Q30,QCalc!X30)</f>
        <v/>
      </c>
      <c r="D50" s="735" t="str">
        <f>IF(NOT(QUOTE_Split_SoftwareHardware),QCalc!N30,QCalc!U30)</f>
        <v/>
      </c>
      <c r="E50" s="735"/>
      <c r="F50" s="735"/>
      <c r="G50" s="735"/>
      <c r="H50" s="735"/>
      <c r="I50" s="735"/>
      <c r="J50" s="735"/>
      <c r="K50" s="735"/>
      <c r="L50" s="735"/>
      <c r="M50" s="735"/>
      <c r="N50" s="736" t="str">
        <f>IF(NOT(QUOTE_Split_SoftwareHardware),
IF(QUOTE_DetailedPrices,QCalc!P30,QCalc!O30),
IF(QUOTE_DetailedPrices,QCalc!W30,QCalc!V30))</f>
        <v/>
      </c>
      <c r="O50" s="737"/>
      <c r="P50" s="270" t="str">
        <f>IF(NOT(QUOTE_Split_SoftwareHardware),QCalc!R30,QCalc!Y30)</f>
        <v/>
      </c>
      <c r="Q50" s="271" t="str">
        <f>IF(NOT(QUOTE_Split_SoftwareHardware),QCalc!S30,QCalc!Z30)</f>
        <v/>
      </c>
      <c r="S50" s="89"/>
      <c r="T50" s="78" t="str">
        <f>IF(AND(U50&gt;0,U50&lt;&gt;"",AND(LEFT(V50,7)&lt;&gt;"   • Wi",LEFT(V50,7)&lt;&gt;"   • XL")),
COUNT($U$23:U50)
+IF(NOT(QUOTE_Split_SoftwareHardware),MAX($B$23:$B$53),0),"")</f>
        <v/>
      </c>
      <c r="U50" s="87" t="str">
        <f>IF(NOT(QUOTE_Split_SoftwareHardware),QCalc!Q61,QCalc!AE30)</f>
        <v/>
      </c>
      <c r="V50" s="734" t="str">
        <f>IF(NOT(QUOTE_Split_SoftwareHardware),QCalc!N61,QCalc!AB30)</f>
        <v/>
      </c>
      <c r="W50" s="735"/>
      <c r="X50" s="735"/>
      <c r="Y50" s="735"/>
      <c r="Z50" s="735"/>
      <c r="AA50" s="735"/>
      <c r="AB50" s="735"/>
      <c r="AC50" s="735"/>
      <c r="AD50" s="735"/>
      <c r="AE50" s="735"/>
      <c r="AF50" s="736" t="str">
        <f>IF(NOT(QUOTE_Split_SoftwareHardware),
IF(QUOTE_DetailedPrices,QCalc!P61,QCalc!O61),
IF(QUOTE_DetailedPrices,QCalc!AD30,QCalc!AC30))</f>
        <v/>
      </c>
      <c r="AG50" s="737"/>
      <c r="AH50" s="270" t="str">
        <f>IF(NOT(QUOTE_Split_SoftwareHardware),QCalc!R61,QCalc!AF30)</f>
        <v/>
      </c>
      <c r="AI50" s="271" t="str">
        <f>IF(NOT(QUOTE_Split_SoftwareHardware),QCalc!S61,QCalc!AG30)</f>
        <v/>
      </c>
    </row>
    <row r="51" spans="1:35" ht="11" customHeight="1" x14ac:dyDescent="0.2">
      <c r="A51" s="89"/>
      <c r="B51" s="78" t="str">
        <f>IF(AND(C51&gt;0,C51&lt;&gt;"",AND(LEFT(D51,7)&lt;&gt;"   • Wi",LEFT(D51,7)&lt;&gt;"   • XL")),
COUNT($C$23:C51),"")</f>
        <v/>
      </c>
      <c r="C51" s="87" t="str">
        <f>IF(NOT(QUOTE_Split_SoftwareHardware),QCalc!Q31,QCalc!X31)</f>
        <v/>
      </c>
      <c r="D51" s="735" t="str">
        <f>IF(NOT(QUOTE_Split_SoftwareHardware),QCalc!N31,QCalc!U31)</f>
        <v/>
      </c>
      <c r="E51" s="735"/>
      <c r="F51" s="735"/>
      <c r="G51" s="735"/>
      <c r="H51" s="735"/>
      <c r="I51" s="735"/>
      <c r="J51" s="735"/>
      <c r="K51" s="735"/>
      <c r="L51" s="735"/>
      <c r="M51" s="735"/>
      <c r="N51" s="736" t="str">
        <f>IF(NOT(QUOTE_Split_SoftwareHardware),
IF(QUOTE_DetailedPrices,QCalc!P31,QCalc!O31),
IF(QUOTE_DetailedPrices,QCalc!W31,QCalc!V31))</f>
        <v/>
      </c>
      <c r="O51" s="737"/>
      <c r="P51" s="270" t="str">
        <f>IF(NOT(QUOTE_Split_SoftwareHardware),QCalc!R31,QCalc!Y31)</f>
        <v/>
      </c>
      <c r="Q51" s="271" t="str">
        <f>IF(NOT(QUOTE_Split_SoftwareHardware),QCalc!S31,QCalc!Z31)</f>
        <v/>
      </c>
      <c r="S51" s="89"/>
      <c r="T51" s="78" t="str">
        <f>IF(AND(U51&gt;0,U51&lt;&gt;"",AND(LEFT(V51,7)&lt;&gt;"   • Wi",LEFT(V51,7)&lt;&gt;"   • XL")),
COUNT($U$23:U51)
+IF(NOT(QUOTE_Split_SoftwareHardware),MAX($B$23:$B$53),0),"")</f>
        <v/>
      </c>
      <c r="U51" s="87" t="str">
        <f>IF(NOT(QUOTE_Split_SoftwareHardware),QCalc!Q62,QCalc!AE31)</f>
        <v/>
      </c>
      <c r="V51" s="734" t="str">
        <f>IF(NOT(QUOTE_Split_SoftwareHardware),QCalc!N62,QCalc!AB31)</f>
        <v/>
      </c>
      <c r="W51" s="735"/>
      <c r="X51" s="735"/>
      <c r="Y51" s="735"/>
      <c r="Z51" s="735"/>
      <c r="AA51" s="735"/>
      <c r="AB51" s="735"/>
      <c r="AC51" s="735"/>
      <c r="AD51" s="735"/>
      <c r="AE51" s="735"/>
      <c r="AF51" s="736" t="str">
        <f>IF(NOT(QUOTE_Split_SoftwareHardware),
IF(QUOTE_DetailedPrices,QCalc!P62,QCalc!O62),
IF(QUOTE_DetailedPrices,QCalc!AD31,QCalc!AC31))</f>
        <v/>
      </c>
      <c r="AG51" s="737"/>
      <c r="AH51" s="270" t="str">
        <f>IF(NOT(QUOTE_Split_SoftwareHardware),QCalc!R62,QCalc!AF31)</f>
        <v/>
      </c>
      <c r="AI51" s="271" t="str">
        <f>IF(NOT(QUOTE_Split_SoftwareHardware),QCalc!S62,QCalc!AG31)</f>
        <v/>
      </c>
    </row>
    <row r="52" spans="1:35" ht="11" customHeight="1" x14ac:dyDescent="0.2">
      <c r="A52" s="89"/>
      <c r="B52" s="78" t="str">
        <f>IF(AND(C52&gt;0,C52&lt;&gt;"",AND(LEFT(D52,7)&lt;&gt;"   • Wi",LEFT(D52,7)&lt;&gt;"   • XL")),
COUNT($C$23:C52),"")</f>
        <v/>
      </c>
      <c r="C52" s="87" t="str">
        <f>IF(NOT(QUOTE_Split_SoftwareHardware),QCalc!Q32,QCalc!X32)</f>
        <v/>
      </c>
      <c r="D52" s="735" t="str">
        <f>IF(NOT(QUOTE_Split_SoftwareHardware),QCalc!N32,QCalc!U32)</f>
        <v/>
      </c>
      <c r="E52" s="735"/>
      <c r="F52" s="735"/>
      <c r="G52" s="735"/>
      <c r="H52" s="735"/>
      <c r="I52" s="735"/>
      <c r="J52" s="735"/>
      <c r="K52" s="735"/>
      <c r="L52" s="735"/>
      <c r="M52" s="735"/>
      <c r="N52" s="736" t="str">
        <f>IF(NOT(QUOTE_Split_SoftwareHardware),
IF(QUOTE_DetailedPrices,QCalc!P32,QCalc!O32),
IF(QUOTE_DetailedPrices,QCalc!W32,QCalc!V32))</f>
        <v/>
      </c>
      <c r="O52" s="737"/>
      <c r="P52" s="270" t="str">
        <f>IF(NOT(QUOTE_Split_SoftwareHardware),QCalc!R32,QCalc!Y32)</f>
        <v/>
      </c>
      <c r="Q52" s="271" t="str">
        <f>IF(NOT(QUOTE_Split_SoftwareHardware),QCalc!S32,QCalc!Z32)</f>
        <v/>
      </c>
      <c r="S52" s="89"/>
      <c r="T52" s="78" t="str">
        <f>IF(AND(U52&gt;0,U52&lt;&gt;"",AND(LEFT(V52,7)&lt;&gt;"   • Wi",LEFT(V52,7)&lt;&gt;"   • XL")),
COUNT($U$23:U52)
+IF(NOT(QUOTE_Split_SoftwareHardware),MAX($B$23:$B$53),0),"")</f>
        <v/>
      </c>
      <c r="U52" s="87" t="str">
        <f>IF(NOT(QUOTE_Split_SoftwareHardware),QCalc!Q63,QCalc!AE32)</f>
        <v/>
      </c>
      <c r="V52" s="734" t="str">
        <f>IF(NOT(QUOTE_Split_SoftwareHardware),QCalc!N63,QCalc!AB32)</f>
        <v/>
      </c>
      <c r="W52" s="735"/>
      <c r="X52" s="735"/>
      <c r="Y52" s="735"/>
      <c r="Z52" s="735"/>
      <c r="AA52" s="735"/>
      <c r="AB52" s="735"/>
      <c r="AC52" s="735"/>
      <c r="AD52" s="735"/>
      <c r="AE52" s="735"/>
      <c r="AF52" s="736" t="str">
        <f>IF(NOT(QUOTE_Split_SoftwareHardware),
IF(QUOTE_DetailedPrices,QCalc!P63,QCalc!O63),
IF(QUOTE_DetailedPrices,QCalc!AD32,QCalc!AC32))</f>
        <v/>
      </c>
      <c r="AG52" s="737"/>
      <c r="AH52" s="270" t="str">
        <f>IF(NOT(QUOTE_Split_SoftwareHardware),QCalc!R63,QCalc!AF32)</f>
        <v/>
      </c>
      <c r="AI52" s="271" t="str">
        <f>IF(NOT(QUOTE_Split_SoftwareHardware),QCalc!S63,QCalc!AG32)</f>
        <v/>
      </c>
    </row>
    <row r="53" spans="1:35" ht="11" customHeight="1" x14ac:dyDescent="0.2">
      <c r="A53" s="89"/>
      <c r="B53" s="78" t="str">
        <f>IF(AND(C53&gt;0,C53&lt;&gt;"",AND(LEFT(D53,7)&lt;&gt;"   • Wi",LEFT(D53,7)&lt;&gt;"   • XL")),
COUNT($C$23:C53),"")</f>
        <v/>
      </c>
      <c r="C53" s="87" t="str">
        <f>IF(NOT(QUOTE_Split_SoftwareHardware),QCalc!Q33,QCalc!X33)</f>
        <v/>
      </c>
      <c r="D53" s="735" t="str">
        <f>IF(NOT(QUOTE_Split_SoftwareHardware),QCalc!N33,QCalc!U33)</f>
        <v/>
      </c>
      <c r="E53" s="735"/>
      <c r="F53" s="735"/>
      <c r="G53" s="735"/>
      <c r="H53" s="735"/>
      <c r="I53" s="735"/>
      <c r="J53" s="735"/>
      <c r="K53" s="735"/>
      <c r="L53" s="735"/>
      <c r="M53" s="735"/>
      <c r="N53" s="736" t="str">
        <f>IF(NOT(QUOTE_Split_SoftwareHardware),
IF(QUOTE_DetailedPrices,QCalc!P33,QCalc!O33),
IF(QUOTE_DetailedPrices,QCalc!W33,QCalc!V33))</f>
        <v/>
      </c>
      <c r="O53" s="737"/>
      <c r="P53" s="270" t="str">
        <f>IF(NOT(QUOTE_Split_SoftwareHardware),QCalc!R33,QCalc!Y33)</f>
        <v/>
      </c>
      <c r="Q53" s="271" t="str">
        <f>IF(NOT(QUOTE_Split_SoftwareHardware),QCalc!S33,QCalc!Z33)</f>
        <v/>
      </c>
      <c r="S53" s="89"/>
      <c r="T53" s="78" t="str">
        <f>IF(AND(U53&gt;0,U53&lt;&gt;"",AND(LEFT(V53,7)&lt;&gt;"   • Wi",LEFT(V53,7)&lt;&gt;"   • XL")),
COUNT($U$23:U53)
+IF(NOT(QUOTE_Split_SoftwareHardware),MAX($B$23:$B$53),0),"")</f>
        <v/>
      </c>
      <c r="U53" s="87" t="str">
        <f>IF(NOT(QUOTE_Split_SoftwareHardware),QCalc!Q64,QCalc!AE33)</f>
        <v/>
      </c>
      <c r="V53" s="734" t="str">
        <f>IF(NOT(QUOTE_Split_SoftwareHardware),QCalc!N64,QCalc!AB33)</f>
        <v/>
      </c>
      <c r="W53" s="735"/>
      <c r="X53" s="735"/>
      <c r="Y53" s="735"/>
      <c r="Z53" s="735"/>
      <c r="AA53" s="735"/>
      <c r="AB53" s="735"/>
      <c r="AC53" s="735"/>
      <c r="AD53" s="735"/>
      <c r="AE53" s="735"/>
      <c r="AF53" s="736" t="str">
        <f>IF(NOT(QUOTE_Split_SoftwareHardware),
IF(QUOTE_DetailedPrices,QCalc!P64,QCalc!O64),
IF(QUOTE_DetailedPrices,QCalc!AD33,QCalc!AC33))</f>
        <v/>
      </c>
      <c r="AG53" s="737"/>
      <c r="AH53" s="270" t="str">
        <f>IF(NOT(QUOTE_Split_SoftwareHardware),QCalc!R64,QCalc!AF33)</f>
        <v/>
      </c>
      <c r="AI53" s="271" t="str">
        <f>IF(NOT(QUOTE_Split_SoftwareHardware),QCalc!S64,QCalc!AG33)</f>
        <v/>
      </c>
    </row>
    <row r="54" spans="1:35" ht="11" customHeight="1" x14ac:dyDescent="0.2">
      <c r="A54" s="90"/>
      <c r="B54" s="125"/>
      <c r="C54" s="92"/>
      <c r="D54" s="748" t="str">
        <f>IF(AND(QUOTE_Split_SoftwareHardware,COUNTIF(TableQCalcMain[ShowSoft],"&gt;0")&gt;31),IF(Francais,"DÉBORDEMENT,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IF(RIGHT(Q64,1)&lt;&gt;"1",IF(Francais,"Inclus aussi les items sur la(les) page(s) suivante(s)","Also includes items on next page(s)"),"")))</f>
        <v/>
      </c>
      <c r="E54" s="749"/>
      <c r="F54" s="749"/>
      <c r="G54" s="749"/>
      <c r="H54" s="749"/>
      <c r="I54" s="749"/>
      <c r="J54" s="749"/>
      <c r="K54" s="749"/>
      <c r="L54" s="749"/>
      <c r="M54" s="749"/>
      <c r="N54" s="739"/>
      <c r="O54" s="740"/>
      <c r="P54" s="272" t="str">
        <f>IF(QUOTE_FilledByCustomer,"DISC01","")</f>
        <v/>
      </c>
      <c r="Q54" s="273" t="str">
        <f>IFERROR(IF(AND(FIND("DISC",LEFT(P54,4)),ISNUMBER(_xlfn.NUMBERVALUE(RIGHT(P54,2)))),
(SUM(Q23:Q53)+SUM(AI23:AI53))*_xlfn.NUMBERVALUE(RIGHT(P54,2)/-100),
0),"")</f>
        <v/>
      </c>
      <c r="S54" s="90"/>
      <c r="T54" s="125"/>
      <c r="U54" s="92"/>
      <c r="V54" s="126"/>
      <c r="W54" s="762"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X54" s="762"/>
      <c r="Y54" s="762"/>
      <c r="Z54" s="762"/>
      <c r="AA54" s="762"/>
      <c r="AB54" s="762"/>
      <c r="AC54" s="762"/>
      <c r="AD54" s="762"/>
      <c r="AE54" s="762"/>
      <c r="AF54" s="739"/>
      <c r="AG54" s="740"/>
      <c r="AH54" s="272"/>
      <c r="AI54" s="273"/>
    </row>
    <row r="55" spans="1:35" ht="5.75" customHeight="1" x14ac:dyDescent="0.2">
      <c r="N55" s="52"/>
      <c r="O55" s="95"/>
      <c r="P55" s="96"/>
      <c r="Q55" s="97"/>
      <c r="S55" s="51"/>
      <c r="T55" s="51"/>
      <c r="U55" s="51"/>
      <c r="V55" s="51"/>
      <c r="W55" s="51"/>
      <c r="X55" s="51"/>
      <c r="Y55" s="51"/>
      <c r="Z55" s="51"/>
      <c r="AA55" s="51"/>
      <c r="AB55" s="51"/>
      <c r="AC55" s="51"/>
      <c r="AD55" s="51"/>
      <c r="AE55" s="51"/>
      <c r="AF55" s="52"/>
      <c r="AG55" s="95"/>
      <c r="AH55" s="96"/>
      <c r="AI55" s="97"/>
    </row>
    <row r="56" spans="1:35" x14ac:dyDescent="0.2">
      <c r="B56" s="747"/>
      <c r="C56" s="747"/>
      <c r="D56" s="747"/>
      <c r="E56" s="747"/>
      <c r="F56" s="747"/>
      <c r="G56" s="747"/>
      <c r="H56" s="747"/>
      <c r="I56" s="747"/>
      <c r="J56" s="747"/>
      <c r="K56" s="747"/>
      <c r="L56" s="747"/>
      <c r="M56" s="747"/>
      <c r="N56" s="52"/>
      <c r="O56" s="93" t="str">
        <f>IF(Francais,"Sous-total","Subtotal")</f>
        <v>Subtotal</v>
      </c>
      <c r="P56" s="63"/>
      <c r="Q56" s="98">
        <f>SUM(Q23:Q54)+IF(NOT(QUOTE_Split_SoftwareHardware),SUM(AI23:AI54),0)</f>
        <v>0</v>
      </c>
      <c r="S56" s="51"/>
      <c r="T56" s="653"/>
      <c r="U56" s="82"/>
      <c r="V56" s="82"/>
      <c r="W56" s="82"/>
      <c r="X56" s="83"/>
      <c r="Y56" s="84"/>
      <c r="Z56" s="84"/>
      <c r="AA56" s="84"/>
      <c r="AB56" s="84"/>
      <c r="AC56" s="84"/>
      <c r="AD56" s="84"/>
      <c r="AE56" s="84"/>
      <c r="AF56" s="52"/>
      <c r="AG56" s="93" t="str">
        <f>IF(Francais,"Sous-total","Subtotal")</f>
        <v>Subtotal</v>
      </c>
      <c r="AH56" s="63"/>
      <c r="AI56" s="98">
        <f>SUM(AI23:AI54)</f>
        <v>0</v>
      </c>
    </row>
    <row r="57" spans="1:35" x14ac:dyDescent="0.2">
      <c r="B57" s="650"/>
      <c r="C57" s="650"/>
      <c r="D57" s="651"/>
      <c r="E57" s="651"/>
      <c r="F57" s="651"/>
      <c r="G57" s="651"/>
      <c r="H57" s="651"/>
      <c r="I57" s="651"/>
      <c r="J57" s="651"/>
      <c r="K57" s="651"/>
      <c r="L57" s="646"/>
      <c r="M57" s="651"/>
      <c r="N57" s="646"/>
      <c r="O57" s="647" t="str">
        <f>IF(SHIP_Country_Index=99,
     "Might not ship to",
     IF(SHIP_CrossShipping,
"BillTo &amp; ShipTo",
IF(Francais,"Frais de port","Shipping")))</f>
        <v>Shipping</v>
      </c>
      <c r="P57" s="648"/>
      <c r="Q57" s="649">
        <f>IF(AND(QUOTE_Split_SoftwareHardware,QUOTE_InternetDownload),
0,
IF(SHIP_Country_Index&gt;21,IF(Francais,"À déterminer","To be determined"),
IF(AND(QUOTE_Split_SoftwareHardware,NOT(QUOTE_InternetDownload)),SHIP_CostSoftware,
SHIP_CostTotal)))</f>
        <v>0</v>
      </c>
      <c r="S57" s="51"/>
      <c r="T57" s="650"/>
      <c r="U57" s="650"/>
      <c r="V57" s="651"/>
      <c r="W57" s="651"/>
      <c r="X57" s="651"/>
      <c r="Y57" s="651"/>
      <c r="Z57" s="651"/>
      <c r="AA57" s="651"/>
      <c r="AB57" s="651"/>
      <c r="AC57" s="651"/>
      <c r="AD57" s="646"/>
      <c r="AE57" s="651"/>
      <c r="AF57" s="52"/>
      <c r="AG57" s="93" t="str">
        <f>IF(Francais,"Frais de port","Shipping")</f>
        <v>Shipping</v>
      </c>
      <c r="AH57" s="63"/>
      <c r="AI57" s="100">
        <f>IF(NOT(QUOTE_Split_SoftwareHardware),
0,
IF(SHIP_Country_Index&gt;21,IF(Francais,"À déterminer","To be determined"),SHIP_CostTotal))</f>
        <v>0</v>
      </c>
    </row>
    <row r="58" spans="1:35" x14ac:dyDescent="0.2">
      <c r="B58" s="651"/>
      <c r="C58" s="651"/>
      <c r="D58" s="651"/>
      <c r="E58" s="651"/>
      <c r="F58" s="651"/>
      <c r="G58" s="651"/>
      <c r="H58" s="651"/>
      <c r="I58" s="651"/>
      <c r="J58" s="651"/>
      <c r="K58" s="651"/>
      <c r="L58" s="646"/>
      <c r="M58" s="651"/>
      <c r="N58" s="52"/>
      <c r="O58" s="99" t="str">
        <f>IF(SHIP_Country_Index=99,
"selected country",
IF(SHIP_CrossShipping,"must be in the",
IF(SHIP_Country_Index=1,
IF(Q58&gt;0,"GST (#130801764)","GST N/A"),
""))
)</f>
        <v/>
      </c>
      <c r="P58" s="67"/>
      <c r="Q58" s="100" t="str">
        <f>IF(SHIP_Country_Index=1,
(Q56+IF(ISNUMBER(Q57),Q57,0))*
IFERROR(INDEX(TableLists[Column6],MATCH(HOME_Province_Ship,TableLists[Column5],0)),0),
"")</f>
        <v/>
      </c>
      <c r="S58" s="51"/>
      <c r="T58" s="651"/>
      <c r="U58" s="651"/>
      <c r="V58" s="651"/>
      <c r="W58" s="651"/>
      <c r="X58" s="651"/>
      <c r="Y58" s="651"/>
      <c r="Z58" s="651"/>
      <c r="AA58" s="651"/>
      <c r="AB58" s="651"/>
      <c r="AC58" s="651"/>
      <c r="AD58" s="646"/>
      <c r="AE58" s="651"/>
      <c r="AF58" s="52"/>
      <c r="AG58" s="99" t="str">
        <f>IF(SHIP_Country_Index=1,
IF(AI58&gt;0,"GST (#130801764)","GST N/A"),
"")</f>
        <v/>
      </c>
      <c r="AH58" s="67"/>
      <c r="AI58" s="100" t="str">
        <f>IF(SHIP_Country_Index=1,
(AI56+IF(ISNUMBER(AI57),AI57,0))*
IFERROR(INDEX(TableLists[Column6],MATCH(HOME_Province_Ship,TableLists[Column5],0)),0),
"")</f>
        <v/>
      </c>
    </row>
    <row r="59" spans="1:35" ht="11" customHeight="1" x14ac:dyDescent="0.2">
      <c r="B59" s="651"/>
      <c r="C59" s="651"/>
      <c r="D59" s="651"/>
      <c r="E59" s="651"/>
      <c r="F59" s="651"/>
      <c r="G59" s="651"/>
      <c r="H59" s="651"/>
      <c r="I59" s="651"/>
      <c r="J59" s="651"/>
      <c r="K59" s="651"/>
      <c r="L59" s="646"/>
      <c r="M59" s="651"/>
      <c r="N59" s="52"/>
      <c r="O59" s="99" t="str">
        <f>IF(SHIP_Country_Index=99,"Contact us.",
IF(SHIP_CrossShipping,"same country.",
IF(SHIP_Country_Index=1,
IF(IFERROR(MATCH(HOME_Province,{"QC";"PQ"},0),0)&gt;0,IF(Francais,"TVQ","QST"),IF(Francais,"TVH","HST")) &amp; IF(Q59&gt;0," (#1011238609)"," N/A"),
"")))</f>
        <v/>
      </c>
      <c r="P59" s="67"/>
      <c r="Q59" s="100" t="str">
        <f>IF(SHIP_Country_Index=1,
(Q56+IF(ISNUMBER(Q57),Q57,0))*
IFERROR(INDEX(TableLists[Column7],MATCH(HOME_Province_Ship,TableLists[Column5],0)),0),
"")</f>
        <v/>
      </c>
      <c r="S59" s="51"/>
      <c r="T59" s="651"/>
      <c r="U59" s="651"/>
      <c r="V59" s="651"/>
      <c r="W59" s="651"/>
      <c r="X59" s="651"/>
      <c r="Y59" s="651"/>
      <c r="Z59" s="651"/>
      <c r="AA59" s="651"/>
      <c r="AB59" s="651"/>
      <c r="AC59" s="651"/>
      <c r="AD59" s="646"/>
      <c r="AE59" s="651"/>
      <c r="AF59" s="52"/>
      <c r="AG59" s="99" t="str">
        <f>IF(SHIP_Country_Index=1,
IF(IFERROR(MATCH(HOME_Province,{"QC";"PQ"},0),0)&gt;0,IF(Francais,"TVQ","QST"),IF(Francais,"TVH","HST")) &amp; IF(AI59&gt;0," (#1011238609)"," N/A"),
"")</f>
        <v/>
      </c>
      <c r="AH59" s="67"/>
      <c r="AI59" s="100" t="str">
        <f>IF(SHIP_Country_Index=1,
(AI56+IF(ISNUMBER(AI57),AI57,0))*
IFERROR(INDEX(TableLists[Column7],MATCH(HOME_Province_Ship,TableLists[Column5],0)),0),
"")</f>
        <v/>
      </c>
    </row>
    <row r="60" spans="1:35" x14ac:dyDescent="0.2">
      <c r="B60" s="645" t="str">
        <f>IF(Francais,"Informations pour Virement Bancaire","Bank Information for Wire Transfer")</f>
        <v>Bank Information for Wire Transfer</v>
      </c>
      <c r="C60" s="85"/>
      <c r="D60" s="84"/>
      <c r="E60" s="84"/>
      <c r="F60" s="84"/>
      <c r="G60" s="84"/>
      <c r="H60" s="84"/>
      <c r="I60" s="84"/>
      <c r="J60" s="84"/>
      <c r="K60" s="84"/>
      <c r="L60" s="84"/>
      <c r="M60" s="84"/>
      <c r="N60" s="52"/>
      <c r="O60" s="101" t="s">
        <v>21</v>
      </c>
      <c r="P60" s="64"/>
      <c r="Q60" s="102">
        <f>SUM(Q56:Q59)</f>
        <v>0</v>
      </c>
      <c r="S60" s="51"/>
      <c r="T60" s="645" t="str">
        <f>IF(Francais,"Informations pour Virement Bancaire","Bank Information for Wire Transfer")</f>
        <v>Bank Information for Wire Transfer</v>
      </c>
      <c r="U60" s="85"/>
      <c r="V60" s="84"/>
      <c r="W60" s="84"/>
      <c r="X60" s="84"/>
      <c r="Y60" s="84"/>
      <c r="Z60" s="84"/>
      <c r="AA60" s="84"/>
      <c r="AB60" s="84"/>
      <c r="AC60" s="84"/>
      <c r="AD60" s="84"/>
      <c r="AE60" s="84"/>
      <c r="AF60" s="52"/>
      <c r="AG60" s="101" t="s">
        <v>21</v>
      </c>
      <c r="AH60" s="64"/>
      <c r="AI60" s="102">
        <f>SUM(AI56:AI59)</f>
        <v>0</v>
      </c>
    </row>
    <row r="61" spans="1:35" x14ac:dyDescent="0.2">
      <c r="B61" s="123"/>
      <c r="C61" s="123"/>
      <c r="D61" s="123"/>
      <c r="E61" s="123"/>
      <c r="F61" s="123"/>
      <c r="G61" s="123"/>
      <c r="H61" s="123"/>
      <c r="I61" s="123"/>
      <c r="J61" s="123"/>
      <c r="K61" s="123"/>
      <c r="L61" s="123"/>
      <c r="N61" s="52"/>
      <c r="O61" s="90"/>
      <c r="P61" s="91"/>
      <c r="Q61" s="103"/>
      <c r="S61" s="51"/>
      <c r="T61" s="56"/>
      <c r="U61" s="56"/>
      <c r="V61" s="56"/>
      <c r="W61" s="56"/>
      <c r="X61" s="56"/>
      <c r="Y61" s="56"/>
      <c r="Z61" s="56"/>
      <c r="AA61" s="56"/>
      <c r="AB61" s="56"/>
      <c r="AC61" s="56"/>
      <c r="AD61" s="56"/>
      <c r="AE61" s="51"/>
      <c r="AF61" s="52"/>
      <c r="AG61" s="90"/>
      <c r="AH61" s="91"/>
      <c r="AI61" s="103" t="str">
        <f>IF(OR(IndexZone=3,IndexZone=8,IndexZone=10),"USD",IF(IndexZone=5,"Euros",IF(Francais,"Dollars Canadiens","Canadian Dollars")))</f>
        <v>Euros</v>
      </c>
    </row>
    <row r="62" spans="1:35" ht="15.5" customHeight="1" x14ac:dyDescent="0.2">
      <c r="B62" s="123"/>
      <c r="C62" s="123"/>
      <c r="D62" s="123"/>
      <c r="E62" s="123"/>
      <c r="F62" s="123"/>
      <c r="H62" s="123"/>
      <c r="I62" s="123"/>
      <c r="J62" s="123"/>
      <c r="K62" s="123"/>
      <c r="L62" s="123"/>
      <c r="M62" s="733" t="str">
        <f>IF(Francais,"Voir nos conditions de ventes (page suivante)","See Sales Terms &amp; Conditions next page")</f>
        <v>See Sales Terms &amp; Conditions next page</v>
      </c>
      <c r="N62" s="733"/>
      <c r="O62" s="733"/>
      <c r="P62" s="733"/>
      <c r="Q62" s="733"/>
      <c r="S62" s="51"/>
      <c r="T62" s="56"/>
      <c r="U62" s="56"/>
      <c r="V62" s="56"/>
      <c r="W62" s="56"/>
      <c r="X62" s="56"/>
      <c r="Y62" s="56"/>
      <c r="Z62" s="56"/>
      <c r="AA62" s="56"/>
      <c r="AB62" s="56"/>
      <c r="AC62" s="56"/>
      <c r="AD62" s="56"/>
      <c r="AE62" s="733" t="str">
        <f>M62</f>
        <v>See Sales Terms &amp; Conditions next page</v>
      </c>
      <c r="AF62" s="733"/>
      <c r="AG62" s="733"/>
      <c r="AH62" s="733"/>
      <c r="AI62" s="733"/>
    </row>
    <row r="63" spans="1:35" x14ac:dyDescent="0.2">
      <c r="B63" s="124"/>
      <c r="C63" s="124"/>
      <c r="D63" s="124"/>
      <c r="E63" s="124"/>
      <c r="F63" s="124"/>
      <c r="G63" s="124"/>
      <c r="H63" s="124"/>
      <c r="I63" s="124"/>
      <c r="M63" s="733"/>
      <c r="N63" s="733"/>
      <c r="O63" s="733"/>
      <c r="P63" s="733"/>
      <c r="Q63" s="733"/>
      <c r="S63" s="51"/>
      <c r="T63" s="54"/>
      <c r="U63" s="54"/>
      <c r="V63" s="54"/>
      <c r="W63" s="54"/>
      <c r="X63" s="54"/>
      <c r="Y63" s="54"/>
      <c r="Z63" s="54"/>
      <c r="AA63" s="54"/>
      <c r="AB63" s="51"/>
      <c r="AC63" s="51"/>
      <c r="AD63" s="51"/>
      <c r="AE63" s="733"/>
      <c r="AF63" s="733"/>
      <c r="AG63" s="733"/>
      <c r="AH63" s="733"/>
      <c r="AI63" s="733"/>
    </row>
    <row r="64" spans="1:35" x14ac:dyDescent="0.2">
      <c r="M64" s="322" t="str">
        <f>IF(Francais,"Préparée par","Issued by")</f>
        <v>Issued by</v>
      </c>
      <c r="O64" s="322" t="s">
        <v>149</v>
      </c>
      <c r="P64" s="321"/>
      <c r="Q64" s="76" t="str">
        <f>"Page 1 " &amp; IF(Francais,"de ","of ") &amp; IF(ROWS(Quote!$V$23:$V$53)&gt;COUNTBLANK(Quote!$V$23:$V$53),IF(NOT(QUOTE_Split_SoftwareHardware),2,1),1)</f>
        <v>Page 1 of 1</v>
      </c>
      <c r="S64" s="51"/>
      <c r="T64" s="51"/>
      <c r="U64" s="51"/>
      <c r="V64" s="51"/>
      <c r="W64" s="51"/>
      <c r="X64" s="51"/>
      <c r="Y64" s="51"/>
      <c r="Z64" s="51"/>
      <c r="AA64" s="51"/>
      <c r="AB64" s="51"/>
      <c r="AC64" s="51"/>
      <c r="AD64" s="51"/>
      <c r="AE64" s="322" t="str">
        <f>IF(Francais,"Préparée par","Issued by")</f>
        <v>Issued by</v>
      </c>
      <c r="AF64" s="51"/>
      <c r="AG64" s="322" t="str">
        <f>O64</f>
        <v>Diane Garant</v>
      </c>
      <c r="AH64" s="51"/>
      <c r="AI64" s="104" t="str">
        <f>SUBSTITUTE("Page 2 " &amp; IF(Francais,"de ","of ") &amp; "2","2",IF(NOT(QUOTE_Split_SoftwareHardware),"2","1"))</f>
        <v>Page 2 of 2</v>
      </c>
    </row>
    <row r="65" spans="1:36" ht="2.75" customHeight="1" x14ac:dyDescent="0.2">
      <c r="A65" s="91"/>
      <c r="B65" s="91"/>
      <c r="C65" s="91"/>
      <c r="D65" s="91"/>
      <c r="E65" s="91"/>
      <c r="F65" s="91"/>
      <c r="G65" s="91"/>
      <c r="H65" s="91"/>
      <c r="I65" s="91"/>
      <c r="J65" s="91"/>
      <c r="K65" s="91"/>
      <c r="L65" s="91"/>
      <c r="M65" s="91"/>
      <c r="N65" s="91"/>
      <c r="O65" s="91"/>
      <c r="P65" s="91"/>
      <c r="Q65" s="91"/>
      <c r="R65" s="51"/>
      <c r="S65" s="91"/>
      <c r="T65" s="91"/>
      <c r="U65" s="91"/>
      <c r="V65" s="91"/>
      <c r="W65" s="91"/>
      <c r="X65" s="91"/>
      <c r="Y65" s="91"/>
      <c r="Z65" s="91"/>
      <c r="AA65" s="91"/>
      <c r="AB65" s="91"/>
      <c r="AC65" s="91"/>
      <c r="AD65" s="91"/>
      <c r="AE65" s="91"/>
      <c r="AF65" s="91"/>
      <c r="AG65" s="91"/>
      <c r="AH65" s="91"/>
      <c r="AI65" s="91"/>
      <c r="AJ65" s="51"/>
    </row>
    <row r="66" spans="1:36" x14ac:dyDescent="0.2">
      <c r="B66" s="326" t="s">
        <v>790</v>
      </c>
      <c r="K66" s="323"/>
      <c r="S66" s="51"/>
      <c r="T66" s="51"/>
      <c r="U66" s="51"/>
      <c r="V66" s="51"/>
      <c r="W66" s="51"/>
      <c r="X66" s="51"/>
      <c r="Y66" s="51"/>
      <c r="Z66" s="51"/>
      <c r="AA66" s="51"/>
      <c r="AB66" s="51"/>
      <c r="AC66" s="51"/>
      <c r="AD66" s="51"/>
      <c r="AE66" s="51"/>
      <c r="AF66" s="51"/>
      <c r="AG66" s="51"/>
      <c r="AH66" s="51"/>
      <c r="AI66" s="51"/>
    </row>
    <row r="67" spans="1:36" x14ac:dyDescent="0.2">
      <c r="B67" s="326"/>
      <c r="K67" s="323"/>
      <c r="S67" s="51"/>
      <c r="T67" s="51"/>
      <c r="U67" s="51"/>
      <c r="V67" s="51"/>
      <c r="W67" s="51"/>
      <c r="X67" s="51"/>
      <c r="Y67" s="51"/>
      <c r="Z67" s="51"/>
      <c r="AA67" s="51"/>
      <c r="AB67" s="51"/>
      <c r="AC67" s="51"/>
      <c r="AD67" s="51"/>
      <c r="AE67" s="51"/>
      <c r="AF67" s="51"/>
      <c r="AG67" s="51"/>
      <c r="AH67" s="51"/>
      <c r="AI67" s="582"/>
    </row>
    <row r="68" spans="1:36" x14ac:dyDescent="0.2">
      <c r="B68" s="326"/>
      <c r="K68" s="323"/>
      <c r="S68" s="51"/>
      <c r="T68" s="51"/>
      <c r="U68" s="51"/>
      <c r="V68" s="51"/>
      <c r="W68" s="51"/>
      <c r="X68" s="51"/>
      <c r="Y68" s="51"/>
      <c r="Z68" s="51"/>
      <c r="AA68" s="51"/>
      <c r="AB68" s="51"/>
      <c r="AC68" s="51"/>
      <c r="AD68" s="51"/>
      <c r="AE68" s="51"/>
      <c r="AF68" s="51"/>
      <c r="AG68" s="51"/>
      <c r="AH68" s="51"/>
      <c r="AI68" s="51"/>
    </row>
    <row r="69" spans="1:36" x14ac:dyDescent="0.2">
      <c r="B69" s="326"/>
      <c r="K69" s="323"/>
      <c r="S69" s="51"/>
      <c r="T69" s="51"/>
      <c r="U69" s="51"/>
      <c r="V69" s="51"/>
      <c r="W69" s="51"/>
      <c r="X69" s="51"/>
      <c r="Y69" s="51"/>
      <c r="Z69" s="51"/>
      <c r="AA69" s="51"/>
      <c r="AB69" s="51"/>
      <c r="AC69" s="51"/>
      <c r="AD69" s="51"/>
      <c r="AE69" s="51"/>
      <c r="AF69" s="51"/>
      <c r="AG69" s="51"/>
      <c r="AH69" s="51"/>
      <c r="AI69" s="51"/>
    </row>
    <row r="70" spans="1:36" ht="15.75" customHeight="1" x14ac:dyDescent="0.2">
      <c r="S70" s="51"/>
      <c r="T70" s="51"/>
      <c r="U70" s="51"/>
      <c r="V70" s="51"/>
      <c r="W70" s="51"/>
      <c r="X70" s="51"/>
      <c r="Y70" s="51"/>
      <c r="Z70" s="51"/>
      <c r="AA70" s="51"/>
      <c r="AB70" s="51"/>
      <c r="AC70" s="51"/>
      <c r="AD70" s="51"/>
      <c r="AE70" s="51"/>
      <c r="AF70" s="51"/>
      <c r="AG70" s="51"/>
      <c r="AH70" s="51"/>
      <c r="AI70" s="51"/>
    </row>
    <row r="71" spans="1:36" ht="15.75" customHeight="1" x14ac:dyDescent="0.2"/>
    <row r="72" spans="1:36" ht="15.75" customHeight="1" x14ac:dyDescent="0.2"/>
    <row r="73" spans="1:36" ht="15.75" customHeight="1" x14ac:dyDescent="0.2"/>
    <row r="74" spans="1:36" ht="15.75" customHeight="1" x14ac:dyDescent="0.25">
      <c r="H74" s="431" t="str">
        <f>IF(Francais,"CONDITIONS GÉNÉRALES DE VENTE","SALES TERMS AND CONDITIONS")</f>
        <v>SALES TERMS AND CONDITIONS</v>
      </c>
      <c r="Q74"/>
    </row>
    <row r="75" spans="1:36" ht="15.75" customHeight="1" x14ac:dyDescent="0.2">
      <c r="Q75"/>
    </row>
    <row r="76" spans="1:36" ht="15.75" customHeight="1" x14ac:dyDescent="0.2">
      <c r="B76" s="742"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Same price worldwide* is made possible by accepting our sales terms &amp; conditions below. If you can't accept them, activate the "Bureaucracy" check box at the top of the Quote sheet and prices will be adjusted accordingly.</v>
      </c>
      <c r="C76" s="742"/>
      <c r="D76" s="742"/>
      <c r="E76" s="742"/>
      <c r="F76" s="742"/>
      <c r="G76" s="742"/>
      <c r="H76" s="742"/>
      <c r="I76" s="742"/>
      <c r="J76" s="742"/>
      <c r="K76" s="742"/>
      <c r="L76" s="742"/>
      <c r="M76" s="742"/>
      <c r="N76" s="742"/>
      <c r="O76" s="742"/>
      <c r="P76" s="742"/>
      <c r="Q76" s="742"/>
      <c r="R76" s="8"/>
    </row>
    <row r="77" spans="1:36" ht="15.75" customHeight="1" x14ac:dyDescent="0.2">
      <c r="B77" s="742"/>
      <c r="C77" s="742"/>
      <c r="D77" s="742"/>
      <c r="E77" s="742"/>
      <c r="F77" s="742"/>
      <c r="G77" s="742"/>
      <c r="H77" s="742"/>
      <c r="I77" s="742"/>
      <c r="J77" s="742"/>
      <c r="K77" s="742"/>
      <c r="L77" s="742"/>
      <c r="M77" s="742"/>
      <c r="N77" s="742"/>
      <c r="O77" s="742"/>
      <c r="P77" s="742"/>
      <c r="Q77" s="742"/>
      <c r="R77" s="8"/>
    </row>
    <row r="78" spans="1:36" ht="15.75" customHeight="1" x14ac:dyDescent="0.2">
      <c r="B78" s="742"/>
      <c r="C78" s="742"/>
      <c r="D78" s="742"/>
      <c r="E78" s="742"/>
      <c r="F78" s="742"/>
      <c r="G78" s="742"/>
      <c r="H78" s="742"/>
      <c r="I78" s="742"/>
      <c r="J78" s="742"/>
      <c r="K78" s="742"/>
      <c r="L78" s="742"/>
      <c r="M78" s="742"/>
      <c r="N78" s="742"/>
      <c r="O78" s="742"/>
      <c r="P78" s="742"/>
      <c r="Q78" s="742"/>
      <c r="R78" s="8"/>
    </row>
    <row r="79" spans="1:36" ht="15.75" customHeight="1" x14ac:dyDescent="0.2"/>
    <row r="80" spans="1:36" ht="15.75" customHeight="1" x14ac:dyDescent="0.2">
      <c r="C80" s="433" t="str">
        <f>IF(Francais,
"Si vous achetez de Regent Instruments, vous acceptez ce qui suit: ",
"If you purchase from Regent Instruments, you agree to the following: "
)</f>
        <v xml:space="preserve">If you purchase from Regent Instruments, you agree to the following: </v>
      </c>
    </row>
    <row r="81" spans="3:18" ht="15.75" customHeight="1" x14ac:dyDescent="0.25">
      <c r="C81" s="432" t="s">
        <v>165</v>
      </c>
      <c r="D81" s="738"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All sales are final, non refundable. Seller takes the time to answer purchaser's questions and to verify that its products fulfill purchaser's needs prior to selling.</v>
      </c>
      <c r="E81" s="738"/>
      <c r="F81" s="738"/>
      <c r="G81" s="738"/>
      <c r="H81" s="738"/>
      <c r="I81" s="738"/>
      <c r="J81" s="738"/>
      <c r="K81" s="738"/>
      <c r="L81" s="738"/>
      <c r="M81" s="738"/>
      <c r="N81" s="738"/>
      <c r="O81" s="738"/>
      <c r="P81" s="738"/>
      <c r="Q81" s="738"/>
      <c r="R81" s="738"/>
    </row>
    <row r="82" spans="3:18" ht="15.75" customHeight="1" x14ac:dyDescent="0.2">
      <c r="D82" s="738"/>
      <c r="E82" s="738"/>
      <c r="F82" s="738"/>
      <c r="G82" s="738"/>
      <c r="H82" s="738"/>
      <c r="I82" s="738"/>
      <c r="J82" s="738"/>
      <c r="K82" s="738"/>
      <c r="L82" s="738"/>
      <c r="M82" s="738"/>
      <c r="N82" s="738"/>
      <c r="O82" s="738"/>
      <c r="P82" s="738"/>
      <c r="Q82" s="738"/>
      <c r="R82" s="738"/>
    </row>
    <row r="83" spans="3:18" ht="15.75" customHeight="1" x14ac:dyDescent="0.25">
      <c r="C83" s="432" t="s">
        <v>165</v>
      </c>
      <c r="D83" s="738"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Buyer pays for shipping and extra fees (customs and clearance fees, his local taxes...) not charged by seller, even for warranty purposes. There are no Canadian taxes or fees on exported goods.</v>
      </c>
      <c r="E83" s="738"/>
      <c r="F83" s="738"/>
      <c r="G83" s="738"/>
      <c r="H83" s="738"/>
      <c r="I83" s="738"/>
      <c r="J83" s="738"/>
      <c r="K83" s="738"/>
      <c r="L83" s="738"/>
      <c r="M83" s="738"/>
      <c r="N83" s="738"/>
      <c r="O83" s="738"/>
      <c r="P83" s="738"/>
      <c r="Q83" s="738"/>
      <c r="R83" s="738"/>
    </row>
    <row r="84" spans="3:18" ht="15.75" customHeight="1" x14ac:dyDescent="0.2">
      <c r="D84" s="738"/>
      <c r="E84" s="738"/>
      <c r="F84" s="738"/>
      <c r="G84" s="738"/>
      <c r="H84" s="738"/>
      <c r="I84" s="738"/>
      <c r="J84" s="738"/>
      <c r="K84" s="738"/>
      <c r="L84" s="738"/>
      <c r="M84" s="738"/>
      <c r="N84" s="738"/>
      <c r="O84" s="738"/>
      <c r="P84" s="738"/>
      <c r="Q84" s="738"/>
      <c r="R84" s="738"/>
    </row>
    <row r="85" spans="3:18" ht="15.75" customHeight="1" x14ac:dyDescent="0.25">
      <c r="C85" s="432" t="s">
        <v>165</v>
      </c>
      <c r="D85" s="738"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Applicable laws are those of seller's location (Canada, Quebec Province) where all work is done by Regent Instruments' employees. No work is done on buyer's premises or country (e.g. installation, training, selling...) and seller has no employee, office or company there.</v>
      </c>
      <c r="E85" s="738"/>
      <c r="F85" s="738"/>
      <c r="G85" s="738"/>
      <c r="H85" s="738"/>
      <c r="I85" s="738"/>
      <c r="J85" s="738"/>
      <c r="K85" s="738"/>
      <c r="L85" s="738"/>
      <c r="M85" s="738"/>
      <c r="N85" s="738"/>
      <c r="O85" s="738"/>
      <c r="P85" s="738"/>
      <c r="Q85" s="738"/>
      <c r="R85" s="738"/>
    </row>
    <row r="86" spans="3:18" ht="15.75" customHeight="1" x14ac:dyDescent="0.2">
      <c r="D86" s="738"/>
      <c r="E86" s="738"/>
      <c r="F86" s="738"/>
      <c r="G86" s="738"/>
      <c r="H86" s="738"/>
      <c r="I86" s="738"/>
      <c r="J86" s="738"/>
      <c r="K86" s="738"/>
      <c r="L86" s="738"/>
      <c r="M86" s="738"/>
      <c r="N86" s="738"/>
      <c r="O86" s="738"/>
      <c r="P86" s="738"/>
      <c r="Q86" s="738"/>
      <c r="R86" s="738"/>
    </row>
    <row r="87" spans="3:18" ht="15.75" customHeight="1" x14ac:dyDescent="0.2">
      <c r="D87" s="738"/>
      <c r="E87" s="738"/>
      <c r="F87" s="738"/>
      <c r="G87" s="738"/>
      <c r="H87" s="738"/>
      <c r="I87" s="738"/>
      <c r="J87" s="738"/>
      <c r="K87" s="738"/>
      <c r="L87" s="738"/>
      <c r="M87" s="738"/>
      <c r="N87" s="738"/>
      <c r="O87" s="738"/>
      <c r="P87" s="738"/>
      <c r="Q87" s="738"/>
      <c r="R87" s="738"/>
    </row>
    <row r="88" spans="3:18" ht="15.75" customHeight="1" x14ac:dyDescent="0.25">
      <c r="C88" s="432" t="s">
        <v>165</v>
      </c>
      <c r="D88" s="738" t="str">
        <f>IF(Francais,"Le vendeur ne modifie pas son contrat de licence de logiciel.","Seller does not modify his software licence agreement.")</f>
        <v>Seller does not modify his software licence agreement.</v>
      </c>
      <c r="E88" s="738"/>
      <c r="F88" s="738"/>
      <c r="G88" s="738"/>
      <c r="H88" s="738"/>
      <c r="I88" s="738"/>
      <c r="J88" s="738"/>
      <c r="K88" s="738"/>
      <c r="L88" s="738"/>
      <c r="M88" s="738"/>
      <c r="N88" s="738"/>
      <c r="O88" s="738"/>
      <c r="P88" s="738"/>
      <c r="Q88" s="738"/>
      <c r="R88" s="738"/>
    </row>
    <row r="89" spans="3:18" ht="15.75" customHeight="1" x14ac:dyDescent="0.25">
      <c r="C89" s="432" t="s">
        <v>165</v>
      </c>
      <c r="D89" s="738"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All equipment manufactured by Regent Instruments has been inspected, tested and carefully packed. It is guaranteed, parts and labor, for 12 months (except for trays which is 30 days) from the date of shipment against manufacturing defects from the point of sale. This guarantee does not cover wear and tear, neglect, misuse, accidents, excessive deterioration or damage caused by unauthorized repair. Contact for warranty, RMA or repair issues: sales@regentinstruments.com</v>
      </c>
      <c r="E89" s="738"/>
      <c r="F89" s="738"/>
      <c r="G89" s="738"/>
      <c r="H89" s="738"/>
      <c r="I89" s="738"/>
      <c r="J89" s="738"/>
      <c r="K89" s="738"/>
      <c r="L89" s="738"/>
      <c r="M89" s="738"/>
      <c r="N89" s="738"/>
      <c r="O89" s="738"/>
      <c r="P89" s="738"/>
      <c r="Q89" s="738"/>
      <c r="R89" s="738"/>
    </row>
    <row r="90" spans="3:18" ht="15.75" customHeight="1" x14ac:dyDescent="0.2">
      <c r="D90" s="738"/>
      <c r="E90" s="738"/>
      <c r="F90" s="738"/>
      <c r="G90" s="738"/>
      <c r="H90" s="738"/>
      <c r="I90" s="738"/>
      <c r="J90" s="738"/>
      <c r="K90" s="738"/>
      <c r="L90" s="738"/>
      <c r="M90" s="738"/>
      <c r="N90" s="738"/>
      <c r="O90" s="738"/>
      <c r="P90" s="738"/>
      <c r="Q90" s="738"/>
      <c r="R90" s="738"/>
    </row>
    <row r="91" spans="3:18" ht="15.75" customHeight="1" x14ac:dyDescent="0.2">
      <c r="D91" s="738"/>
      <c r="E91" s="738"/>
      <c r="F91" s="738"/>
      <c r="G91" s="738"/>
      <c r="H91" s="738"/>
      <c r="I91" s="738"/>
      <c r="J91" s="738"/>
      <c r="K91" s="738"/>
      <c r="L91" s="738"/>
      <c r="M91" s="738"/>
      <c r="N91" s="738"/>
      <c r="O91" s="738"/>
      <c r="P91" s="738"/>
      <c r="Q91" s="738"/>
      <c r="R91" s="738"/>
    </row>
    <row r="92" spans="3:18" ht="15.75" customHeight="1" x14ac:dyDescent="0.2">
      <c r="D92" s="738"/>
      <c r="E92" s="738"/>
      <c r="F92" s="738"/>
      <c r="G92" s="738"/>
      <c r="H92" s="738"/>
      <c r="I92" s="738"/>
      <c r="J92" s="738"/>
      <c r="K92" s="738"/>
      <c r="L92" s="738"/>
      <c r="M92" s="738"/>
      <c r="N92" s="738"/>
      <c r="O92" s="738"/>
      <c r="P92" s="738"/>
      <c r="Q92" s="738"/>
      <c r="R92" s="738"/>
    </row>
    <row r="93" spans="3:18" ht="15.75" customHeight="1" x14ac:dyDescent="0.2">
      <c r="D93" s="738"/>
      <c r="E93" s="738"/>
      <c r="F93" s="738"/>
      <c r="G93" s="738"/>
      <c r="H93" s="738"/>
      <c r="I93" s="738"/>
      <c r="J93" s="738"/>
      <c r="K93" s="738"/>
      <c r="L93" s="738"/>
      <c r="M93" s="738"/>
      <c r="N93" s="738"/>
      <c r="O93" s="738"/>
      <c r="P93" s="738"/>
      <c r="Q93" s="738"/>
      <c r="R93" s="738"/>
    </row>
    <row r="94" spans="3:18" ht="15.75" customHeight="1" x14ac:dyDescent="0.25">
      <c r="C94" s="432" t="s">
        <v>165</v>
      </c>
      <c r="D94" s="738" t="str">
        <f>IF(Francais,"Toutes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All international orders (outside Canada) must be pre-paid (same price for credit cards or wire transfer). Quoted prices are NOT valid for customers who require the reading, approving or negotiating of complex purchasing contracts or terms and conditions. Given the work involved in going through this process, the seller will do it only for sales of 100 000$ or more.</v>
      </c>
      <c r="E94" s="738"/>
      <c r="F94" s="738"/>
      <c r="G94" s="738"/>
      <c r="H94" s="738"/>
      <c r="I94" s="738"/>
      <c r="J94" s="738"/>
      <c r="K94" s="738"/>
      <c r="L94" s="738"/>
      <c r="M94" s="738"/>
      <c r="N94" s="738"/>
      <c r="O94" s="738"/>
      <c r="P94" s="738"/>
      <c r="Q94" s="738"/>
      <c r="R94" s="738"/>
    </row>
    <row r="95" spans="3:18" ht="15.75" customHeight="1" x14ac:dyDescent="0.2">
      <c r="D95" s="738"/>
      <c r="E95" s="738"/>
      <c r="F95" s="738"/>
      <c r="G95" s="738"/>
      <c r="H95" s="738"/>
      <c r="I95" s="738"/>
      <c r="J95" s="738"/>
      <c r="K95" s="738"/>
      <c r="L95" s="738"/>
      <c r="M95" s="738"/>
      <c r="N95" s="738"/>
      <c r="O95" s="738"/>
      <c r="P95" s="738"/>
      <c r="Q95" s="738"/>
      <c r="R95" s="738"/>
    </row>
    <row r="96" spans="3:18" ht="15.75" customHeight="1" x14ac:dyDescent="0.2">
      <c r="D96" s="738"/>
      <c r="E96" s="738"/>
      <c r="F96" s="738"/>
      <c r="G96" s="738"/>
      <c r="H96" s="738"/>
      <c r="I96" s="738"/>
      <c r="J96" s="738"/>
      <c r="K96" s="738"/>
      <c r="L96" s="738"/>
      <c r="M96" s="738"/>
      <c r="N96" s="738"/>
      <c r="O96" s="738"/>
      <c r="P96" s="738"/>
      <c r="Q96" s="738"/>
      <c r="R96" s="738"/>
    </row>
    <row r="97" spans="2:18" ht="15.75" customHeight="1" x14ac:dyDescent="0.2">
      <c r="D97" s="738"/>
      <c r="E97" s="738"/>
      <c r="F97" s="738"/>
      <c r="G97" s="738"/>
      <c r="H97" s="738"/>
      <c r="I97" s="738"/>
      <c r="J97" s="738"/>
      <c r="K97" s="738"/>
      <c r="L97" s="738"/>
      <c r="M97" s="738"/>
      <c r="N97" s="738"/>
      <c r="O97" s="738"/>
      <c r="P97" s="738"/>
      <c r="Q97" s="738"/>
      <c r="R97" s="738"/>
    </row>
    <row r="98" spans="2:18" ht="15.75" customHeight="1" x14ac:dyDescent="0.25">
      <c r="C98" s="432" t="s">
        <v>165</v>
      </c>
      <c r="D98" s="738"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Seller does not register as a vendor for sales below 100 000$. All information required to make wire transfer are on our Quotes and Invoices and credit card payment is an efficient and easy alternative.</v>
      </c>
      <c r="E98" s="738"/>
      <c r="F98" s="738"/>
      <c r="G98" s="738"/>
      <c r="H98" s="738"/>
      <c r="I98" s="738"/>
      <c r="J98" s="738"/>
      <c r="K98" s="738"/>
      <c r="L98" s="738"/>
      <c r="M98" s="738"/>
      <c r="N98" s="738"/>
      <c r="O98" s="738"/>
      <c r="P98" s="738"/>
      <c r="Q98" s="738"/>
      <c r="R98" s="738"/>
    </row>
    <row r="99" spans="2:18" ht="15.75" customHeight="1" x14ac:dyDescent="0.2">
      <c r="D99" s="738"/>
      <c r="E99" s="738"/>
      <c r="F99" s="738"/>
      <c r="G99" s="738"/>
      <c r="H99" s="738"/>
      <c r="I99" s="738"/>
      <c r="J99" s="738"/>
      <c r="K99" s="738"/>
      <c r="L99" s="738"/>
      <c r="M99" s="738"/>
      <c r="N99" s="738"/>
      <c r="O99" s="738"/>
      <c r="P99" s="738"/>
      <c r="Q99" s="738"/>
      <c r="R99" s="738"/>
    </row>
    <row r="100" spans="2:18" ht="15.75" customHeight="1" x14ac:dyDescent="0.25">
      <c r="C100" s="432" t="s">
        <v>165</v>
      </c>
      <c r="D100" s="764" t="str">
        <f>IF(Francais,"Les termes et conditions du vendeur prévalent en cas de conflit avec ceux de l'acheteur.",
"Seller's terms and conditions prevail in case of conflicts with buyer's.")</f>
        <v>Seller's terms and conditions prevail in case of conflicts with buyer's.</v>
      </c>
      <c r="E100" s="764"/>
      <c r="F100" s="764"/>
      <c r="G100" s="764"/>
      <c r="H100" s="764"/>
      <c r="I100" s="764"/>
      <c r="J100" s="764"/>
      <c r="K100" s="764"/>
      <c r="L100" s="764"/>
      <c r="M100" s="764"/>
      <c r="N100" s="764"/>
      <c r="O100" s="764"/>
      <c r="P100" s="764"/>
      <c r="Q100" s="764"/>
      <c r="R100" s="764"/>
    </row>
    <row r="101" spans="2:18" ht="15.75" customHeight="1" x14ac:dyDescent="0.2">
      <c r="R101" s="51"/>
    </row>
    <row r="102" spans="2:18" ht="15.75" customHeight="1" x14ac:dyDescent="0.2">
      <c r="C102" s="706" t="s">
        <v>767</v>
      </c>
      <c r="D102" s="763"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We only have one price list, available in 3 currencies ($Can, USD and €) for worldwide customers. Note that there are countries we cannot ship to due to local authorities requirements (e.g. Certificate of Origin, authenticated documents...) or Canadian exports restrictions. If unsure, contact us. 
If you buy from a distributor, the price might be higher to account for extra work they might provide such as:</v>
      </c>
      <c r="E102" s="763"/>
      <c r="F102" s="763"/>
      <c r="G102" s="763"/>
      <c r="H102" s="763"/>
      <c r="I102" s="763"/>
      <c r="J102" s="763"/>
      <c r="K102" s="763"/>
      <c r="L102" s="763"/>
      <c r="M102" s="763"/>
      <c r="N102" s="763"/>
      <c r="O102" s="763"/>
      <c r="P102" s="763"/>
      <c r="Q102" s="763"/>
      <c r="R102" s="763"/>
    </row>
    <row r="103" spans="2:18" ht="15.75" customHeight="1" x14ac:dyDescent="0.2">
      <c r="B103"/>
      <c r="D103" s="763"/>
      <c r="E103" s="763"/>
      <c r="F103" s="763"/>
      <c r="G103" s="763"/>
      <c r="H103" s="763"/>
      <c r="I103" s="763"/>
      <c r="J103" s="763"/>
      <c r="K103" s="763"/>
      <c r="L103" s="763"/>
      <c r="M103" s="763"/>
      <c r="N103" s="763"/>
      <c r="O103" s="763"/>
      <c r="P103" s="763"/>
      <c r="Q103" s="763"/>
      <c r="R103" s="763"/>
    </row>
    <row r="104" spans="2:18" ht="15.75" customHeight="1" x14ac:dyDescent="0.2">
      <c r="D104" s="763"/>
      <c r="E104" s="763"/>
      <c r="F104" s="763"/>
      <c r="G104" s="763"/>
      <c r="H104" s="763"/>
      <c r="I104" s="763"/>
      <c r="J104" s="763"/>
      <c r="K104" s="763"/>
      <c r="L104" s="763"/>
      <c r="M104" s="763"/>
      <c r="N104" s="763"/>
      <c r="O104" s="763"/>
      <c r="P104" s="763"/>
      <c r="Q104" s="763"/>
      <c r="R104" s="763"/>
    </row>
    <row r="105" spans="2:18" ht="15.75" customHeight="1" x14ac:dyDescent="0.2">
      <c r="D105" s="763"/>
      <c r="E105" s="763"/>
      <c r="F105" s="763"/>
      <c r="G105" s="763"/>
      <c r="H105" s="763"/>
      <c r="I105" s="763"/>
      <c r="J105" s="763"/>
      <c r="K105" s="763"/>
      <c r="L105" s="763"/>
      <c r="M105" s="763"/>
      <c r="N105" s="763"/>
      <c r="O105" s="763"/>
      <c r="P105" s="763"/>
      <c r="Q105" s="763"/>
      <c r="R105" s="763"/>
    </row>
    <row r="106" spans="2:18" ht="15.75" customHeight="1" x14ac:dyDescent="0.2">
      <c r="D106" s="765"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Financing for customers that pay after delivery.
 • Producing import documents (certificates, customs clearance...).
 • Paying customs fees and import clearance fees.
 • Register as a seller on the customer purchasing system.</v>
      </c>
      <c r="E106" s="765"/>
      <c r="F106" s="765"/>
      <c r="G106" s="765"/>
      <c r="H106" s="765"/>
      <c r="I106" s="765"/>
      <c r="J106" s="765"/>
      <c r="K106" s="765"/>
      <c r="L106" s="765"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 legal contracts and follow local laws.
 • Bidding.
 • Translation of documents (pre or post sale).
 • Do on-site installation and/or training.
 • Pay local taxes (VAT...).</v>
      </c>
      <c r="M106" s="765"/>
      <c r="N106" s="765"/>
      <c r="O106" s="765"/>
      <c r="P106" s="765"/>
      <c r="Q106" s="765"/>
      <c r="R106" s="765"/>
    </row>
    <row r="107" spans="2:18" ht="15.75" customHeight="1" x14ac:dyDescent="0.2">
      <c r="D107" s="765"/>
      <c r="E107" s="765"/>
      <c r="F107" s="765"/>
      <c r="G107" s="765"/>
      <c r="H107" s="765"/>
      <c r="I107" s="765"/>
      <c r="J107" s="765"/>
      <c r="K107" s="765"/>
      <c r="L107" s="765"/>
      <c r="M107" s="765"/>
      <c r="N107" s="765"/>
      <c r="O107" s="765"/>
      <c r="P107" s="765"/>
      <c r="Q107" s="765"/>
      <c r="R107" s="765"/>
    </row>
    <row r="108" spans="2:18" ht="15.75" customHeight="1" x14ac:dyDescent="0.2">
      <c r="D108" s="765"/>
      <c r="E108" s="765"/>
      <c r="F108" s="765"/>
      <c r="G108" s="765"/>
      <c r="H108" s="765"/>
      <c r="I108" s="765"/>
      <c r="J108" s="765"/>
      <c r="K108" s="765"/>
      <c r="L108" s="765"/>
      <c r="M108" s="765"/>
      <c r="N108" s="765"/>
      <c r="O108" s="765"/>
      <c r="P108" s="765"/>
      <c r="Q108" s="765"/>
      <c r="R108" s="765"/>
    </row>
    <row r="109" spans="2:18" ht="15.75" customHeight="1" x14ac:dyDescent="0.2">
      <c r="D109" s="765"/>
      <c r="E109" s="765"/>
      <c r="F109" s="765"/>
      <c r="G109" s="765"/>
      <c r="H109" s="765"/>
      <c r="I109" s="765"/>
      <c r="J109" s="765"/>
      <c r="K109" s="765"/>
      <c r="L109" s="765"/>
      <c r="M109" s="765"/>
      <c r="N109" s="765"/>
      <c r="O109" s="765"/>
      <c r="P109" s="765"/>
      <c r="Q109" s="765"/>
      <c r="R109" s="765"/>
    </row>
    <row r="110" spans="2:18" ht="15.75" customHeight="1" x14ac:dyDescent="0.2">
      <c r="C110" s="706" t="s">
        <v>768</v>
      </c>
      <c r="D110" s="763"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Our price list allows to split an order in two different orders, each with their own invoice number, so that prices are lower (which can simplify the purchasing procedure when below a certain amount). One invoice contains software items (which can be downloaded or shipped by carrier) and the other, hardware. Not paying to insure the software by the carrier reduces shipping costs. See the "Split in 2 Invoices" &amp; "Internet Download" check boxes on the Quote sheet.</v>
      </c>
      <c r="E110" s="763"/>
      <c r="F110" s="763"/>
      <c r="G110" s="763"/>
      <c r="H110" s="763"/>
      <c r="I110" s="763"/>
      <c r="J110" s="763"/>
      <c r="K110" s="763"/>
      <c r="L110" s="763"/>
      <c r="M110" s="763"/>
      <c r="N110" s="763"/>
      <c r="O110" s="763"/>
      <c r="P110" s="763"/>
      <c r="Q110" s="763"/>
      <c r="R110" s="707"/>
    </row>
    <row r="111" spans="2:18" ht="15.75" customHeight="1" x14ac:dyDescent="0.2">
      <c r="D111" s="763"/>
      <c r="E111" s="763"/>
      <c r="F111" s="763"/>
      <c r="G111" s="763"/>
      <c r="H111" s="763"/>
      <c r="I111" s="763"/>
      <c r="J111" s="763"/>
      <c r="K111" s="763"/>
      <c r="L111" s="763"/>
      <c r="M111" s="763"/>
      <c r="N111" s="763"/>
      <c r="O111" s="763"/>
      <c r="P111" s="763"/>
      <c r="Q111" s="763"/>
      <c r="R111" s="707"/>
    </row>
    <row r="112" spans="2:18" ht="15.75" customHeight="1" x14ac:dyDescent="0.2">
      <c r="D112" s="763"/>
      <c r="E112" s="763"/>
      <c r="F112" s="763"/>
      <c r="G112" s="763"/>
      <c r="H112" s="763"/>
      <c r="I112" s="763"/>
      <c r="J112" s="763"/>
      <c r="K112" s="763"/>
      <c r="L112" s="763"/>
      <c r="M112" s="763"/>
      <c r="N112" s="763"/>
      <c r="O112" s="763"/>
      <c r="P112" s="763"/>
      <c r="Q112" s="763"/>
      <c r="R112" s="707"/>
    </row>
    <row r="113" spans="4:18" ht="15.75" customHeight="1" x14ac:dyDescent="0.2">
      <c r="D113" s="763"/>
      <c r="E113" s="763"/>
      <c r="F113" s="763"/>
      <c r="G113" s="763"/>
      <c r="H113" s="763"/>
      <c r="I113" s="763"/>
      <c r="J113" s="763"/>
      <c r="K113" s="763"/>
      <c r="L113" s="763"/>
      <c r="M113" s="763"/>
      <c r="N113" s="763"/>
      <c r="O113" s="763"/>
      <c r="P113" s="763"/>
      <c r="Q113" s="763"/>
      <c r="R113" s="707"/>
    </row>
    <row r="114" spans="4:18" ht="15.75" customHeight="1" x14ac:dyDescent="0.2">
      <c r="D114" s="763"/>
      <c r="E114" s="763"/>
      <c r="F114" s="763"/>
      <c r="G114" s="763"/>
      <c r="H114" s="763"/>
      <c r="I114" s="763"/>
      <c r="J114" s="763"/>
      <c r="K114" s="763"/>
      <c r="L114" s="763"/>
      <c r="M114" s="763"/>
      <c r="N114" s="763"/>
      <c r="O114" s="763"/>
      <c r="P114" s="763"/>
      <c r="Q114" s="763"/>
      <c r="R114" s="707"/>
    </row>
    <row r="115" spans="4:18" ht="15.75" customHeight="1" x14ac:dyDescent="0.2"/>
    <row r="116" spans="4:18" ht="15.75" customHeight="1" x14ac:dyDescent="0.2"/>
  </sheetData>
  <sheetProtection algorithmName="SHA-512" hashValue="pzL48D2bX2M1kXezL8GBl8MaP9m+MFosZMDvdvcAVxJAqJq9GkPP6oqSYPTtN7yAKCdIYswH9UfSQIheD3rSnQ==" saltValue="GLSXX6WFuRMv8/odcav7TA==" spinCount="100000" sheet="1" objects="1" scenarios="1" selectLockedCells="1"/>
  <mergeCells count="247">
    <mergeCell ref="D110:Q114"/>
    <mergeCell ref="D81:R82"/>
    <mergeCell ref="D88:R88"/>
    <mergeCell ref="D98:R99"/>
    <mergeCell ref="D100:R100"/>
    <mergeCell ref="D102:R105"/>
    <mergeCell ref="D83:R84"/>
    <mergeCell ref="D89:R93"/>
    <mergeCell ref="D85:R87"/>
    <mergeCell ref="D106:K109"/>
    <mergeCell ref="L106:R109"/>
    <mergeCell ref="AH13:AI13"/>
    <mergeCell ref="AF51:AG51"/>
    <mergeCell ref="W54:AE54"/>
    <mergeCell ref="V46:AE46"/>
    <mergeCell ref="AF46:AG46"/>
    <mergeCell ref="V47:AE47"/>
    <mergeCell ref="AF47:AG47"/>
    <mergeCell ref="V48:AE48"/>
    <mergeCell ref="Z16:AC16"/>
    <mergeCell ref="AF36:AG36"/>
    <mergeCell ref="AF48:AG48"/>
    <mergeCell ref="AH14:AI14"/>
    <mergeCell ref="AH16:AI16"/>
    <mergeCell ref="AH15:AI15"/>
    <mergeCell ref="Z15:AC15"/>
    <mergeCell ref="V21:W21"/>
    <mergeCell ref="V31:AE31"/>
    <mergeCell ref="V53:AE53"/>
    <mergeCell ref="V34:AE34"/>
    <mergeCell ref="AF45:AG45"/>
    <mergeCell ref="V30:AE30"/>
    <mergeCell ref="AF30:AG30"/>
    <mergeCell ref="V41:AE41"/>
    <mergeCell ref="V42:AE42"/>
    <mergeCell ref="N54:O54"/>
    <mergeCell ref="N23:O23"/>
    <mergeCell ref="N24:O24"/>
    <mergeCell ref="N25:O25"/>
    <mergeCell ref="N34:O34"/>
    <mergeCell ref="N37:O37"/>
    <mergeCell ref="N38:O38"/>
    <mergeCell ref="V38:AE38"/>
    <mergeCell ref="N47:O47"/>
    <mergeCell ref="N45:O45"/>
    <mergeCell ref="N50:O50"/>
    <mergeCell ref="N48:O48"/>
    <mergeCell ref="N49:O49"/>
    <mergeCell ref="N27:O27"/>
    <mergeCell ref="N28:O28"/>
    <mergeCell ref="V37:AE37"/>
    <mergeCell ref="N1:Q1"/>
    <mergeCell ref="T9:X10"/>
    <mergeCell ref="Z9:AC10"/>
    <mergeCell ref="AE9:AI10"/>
    <mergeCell ref="T12:X12"/>
    <mergeCell ref="Z12:AC12"/>
    <mergeCell ref="AH12:AI12"/>
    <mergeCell ref="T13:X13"/>
    <mergeCell ref="P4:Q4"/>
    <mergeCell ref="P5:Q5"/>
    <mergeCell ref="P6:Q6"/>
    <mergeCell ref="P7:Q7"/>
    <mergeCell ref="AH2:AI2"/>
    <mergeCell ref="AH3:AI3"/>
    <mergeCell ref="AH4:AI4"/>
    <mergeCell ref="AH5:AI5"/>
    <mergeCell ref="AD2:AG2"/>
    <mergeCell ref="L2:O2"/>
    <mergeCell ref="L3:O3"/>
    <mergeCell ref="L4:O4"/>
    <mergeCell ref="L5:O5"/>
    <mergeCell ref="L6:O6"/>
    <mergeCell ref="AH6:AI6"/>
    <mergeCell ref="AH7:AI7"/>
    <mergeCell ref="AF1:AI1"/>
    <mergeCell ref="AD3:AG3"/>
    <mergeCell ref="T17:X17"/>
    <mergeCell ref="Z17:AC17"/>
    <mergeCell ref="AF21:AG21"/>
    <mergeCell ref="V19:X19"/>
    <mergeCell ref="V23:AE23"/>
    <mergeCell ref="Z19:AA19"/>
    <mergeCell ref="N29:O29"/>
    <mergeCell ref="V29:AE29"/>
    <mergeCell ref="P17:Q18"/>
    <mergeCell ref="V26:AE26"/>
    <mergeCell ref="AF26:AG26"/>
    <mergeCell ref="V27:AE27"/>
    <mergeCell ref="AF27:AG27"/>
    <mergeCell ref="AE17:AG17"/>
    <mergeCell ref="U18:X18"/>
    <mergeCell ref="AA18:AC18"/>
    <mergeCell ref="N21:O21"/>
    <mergeCell ref="AF23:AG23"/>
    <mergeCell ref="V24:AE24"/>
    <mergeCell ref="AF24:AG24"/>
    <mergeCell ref="N22:O22"/>
    <mergeCell ref="V22:AE22"/>
    <mergeCell ref="AD4:AG4"/>
    <mergeCell ref="AD5:AG5"/>
    <mergeCell ref="AD6:AG6"/>
    <mergeCell ref="AD7:AG7"/>
    <mergeCell ref="AE14:AG14"/>
    <mergeCell ref="AE15:AG15"/>
    <mergeCell ref="AE16:AG16"/>
    <mergeCell ref="T14:X14"/>
    <mergeCell ref="Z14:AC14"/>
    <mergeCell ref="Z13:AC13"/>
    <mergeCell ref="AE12:AG12"/>
    <mergeCell ref="AE13:AG13"/>
    <mergeCell ref="D28:M28"/>
    <mergeCell ref="V36:AE36"/>
    <mergeCell ref="AF22:AG22"/>
    <mergeCell ref="V28:AE28"/>
    <mergeCell ref="AF28:AG28"/>
    <mergeCell ref="V25:AE25"/>
    <mergeCell ref="AF25:AG25"/>
    <mergeCell ref="N31:O31"/>
    <mergeCell ref="N32:O32"/>
    <mergeCell ref="N33:O33"/>
    <mergeCell ref="N30:O30"/>
    <mergeCell ref="AF31:AG31"/>
    <mergeCell ref="AF37:AG37"/>
    <mergeCell ref="V32:AE32"/>
    <mergeCell ref="AF32:AG32"/>
    <mergeCell ref="V33:AE33"/>
    <mergeCell ref="AF33:AG33"/>
    <mergeCell ref="V35:AE35"/>
    <mergeCell ref="AF35:AG35"/>
    <mergeCell ref="AF34:AG34"/>
    <mergeCell ref="D34:M34"/>
    <mergeCell ref="D35:M35"/>
    <mergeCell ref="D36:M36"/>
    <mergeCell ref="D32:M32"/>
    <mergeCell ref="H19:I19"/>
    <mergeCell ref="D21:E21"/>
    <mergeCell ref="D19:F19"/>
    <mergeCell ref="D25:M25"/>
    <mergeCell ref="D26:M26"/>
    <mergeCell ref="N26:O26"/>
    <mergeCell ref="T19:U19"/>
    <mergeCell ref="D22:M22"/>
    <mergeCell ref="D27:M27"/>
    <mergeCell ref="H15:K15"/>
    <mergeCell ref="P14:Q14"/>
    <mergeCell ref="M15:O15"/>
    <mergeCell ref="M13:O13"/>
    <mergeCell ref="M14:O14"/>
    <mergeCell ref="T16:X16"/>
    <mergeCell ref="B15:F15"/>
    <mergeCell ref="M16:O16"/>
    <mergeCell ref="P15:Q15"/>
    <mergeCell ref="T15:X15"/>
    <mergeCell ref="AH17:AI18"/>
    <mergeCell ref="AB19:AC19"/>
    <mergeCell ref="N42:O42"/>
    <mergeCell ref="N35:O35"/>
    <mergeCell ref="N36:O36"/>
    <mergeCell ref="N40:O40"/>
    <mergeCell ref="N41:O41"/>
    <mergeCell ref="D23:M23"/>
    <mergeCell ref="D24:M24"/>
    <mergeCell ref="D37:M37"/>
    <mergeCell ref="D38:M38"/>
    <mergeCell ref="D39:M39"/>
    <mergeCell ref="D40:M40"/>
    <mergeCell ref="D31:M31"/>
    <mergeCell ref="D29:M29"/>
    <mergeCell ref="D30:M30"/>
    <mergeCell ref="D33:M33"/>
    <mergeCell ref="C18:F18"/>
    <mergeCell ref="B17:F17"/>
    <mergeCell ref="M17:O17"/>
    <mergeCell ref="H17:K17"/>
    <mergeCell ref="I18:K18"/>
    <mergeCell ref="B19:C19"/>
    <mergeCell ref="AF29:AG29"/>
    <mergeCell ref="P2:Q2"/>
    <mergeCell ref="P3:Q3"/>
    <mergeCell ref="P16:Q16"/>
    <mergeCell ref="J19:O19"/>
    <mergeCell ref="B56:M56"/>
    <mergeCell ref="D54:M54"/>
    <mergeCell ref="B9:F10"/>
    <mergeCell ref="B12:F12"/>
    <mergeCell ref="H12:K12"/>
    <mergeCell ref="P12:Q12"/>
    <mergeCell ref="M12:O12"/>
    <mergeCell ref="H9:K10"/>
    <mergeCell ref="M9:Q10"/>
    <mergeCell ref="H7:I7"/>
    <mergeCell ref="J7:K7"/>
    <mergeCell ref="L7:O7"/>
    <mergeCell ref="D52:M52"/>
    <mergeCell ref="B13:F13"/>
    <mergeCell ref="B14:F14"/>
    <mergeCell ref="H16:K16"/>
    <mergeCell ref="B16:F16"/>
    <mergeCell ref="D49:M49"/>
    <mergeCell ref="D50:M50"/>
    <mergeCell ref="D51:M51"/>
    <mergeCell ref="J5:K5"/>
    <mergeCell ref="B76:Q78"/>
    <mergeCell ref="M62:Q63"/>
    <mergeCell ref="AF38:AG38"/>
    <mergeCell ref="V39:AE39"/>
    <mergeCell ref="AF39:AG39"/>
    <mergeCell ref="V44:AE44"/>
    <mergeCell ref="AF41:AG41"/>
    <mergeCell ref="AF42:AG42"/>
    <mergeCell ref="V40:AE40"/>
    <mergeCell ref="N39:O39"/>
    <mergeCell ref="AF53:AG53"/>
    <mergeCell ref="V49:AE49"/>
    <mergeCell ref="AF49:AG49"/>
    <mergeCell ref="V50:AE50"/>
    <mergeCell ref="AF44:AG44"/>
    <mergeCell ref="V45:AE45"/>
    <mergeCell ref="AF52:AG52"/>
    <mergeCell ref="P13:Q13"/>
    <mergeCell ref="H13:K13"/>
    <mergeCell ref="H14:K14"/>
    <mergeCell ref="AE62:AI63"/>
    <mergeCell ref="V52:AE52"/>
    <mergeCell ref="AF40:AG40"/>
    <mergeCell ref="D94:R97"/>
    <mergeCell ref="D48:M48"/>
    <mergeCell ref="D42:M42"/>
    <mergeCell ref="D41:M41"/>
    <mergeCell ref="D43:M43"/>
    <mergeCell ref="D44:M44"/>
    <mergeCell ref="D45:M45"/>
    <mergeCell ref="D46:M46"/>
    <mergeCell ref="D47:M47"/>
    <mergeCell ref="N51:O51"/>
    <mergeCell ref="N46:O46"/>
    <mergeCell ref="N43:O43"/>
    <mergeCell ref="N44:O44"/>
    <mergeCell ref="AF54:AG54"/>
    <mergeCell ref="AF50:AG50"/>
    <mergeCell ref="V51:AE51"/>
    <mergeCell ref="V43:AE43"/>
    <mergeCell ref="AF43:AG43"/>
    <mergeCell ref="D53:M53"/>
    <mergeCell ref="N52:O52"/>
    <mergeCell ref="N53:O53"/>
  </mergeCells>
  <conditionalFormatting sqref="N1 AF1">
    <cfRule type="expression" dxfId="138" priority="9">
      <formula>IF(LEN($N$1)&gt;40,1,0)</formula>
    </cfRule>
  </conditionalFormatting>
  <conditionalFormatting sqref="AH22:AI54 P22:Q54">
    <cfRule type="expression" dxfId="137" priority="4">
      <formula>IF(Distributeurs_Rabais,1,0)</formula>
    </cfRule>
  </conditionalFormatting>
  <conditionalFormatting sqref="AG55:AI61">
    <cfRule type="expression" dxfId="136" priority="3">
      <formula>IF(QUOTE_Split_SoftwareHardware,0,1)</formula>
    </cfRule>
  </conditionalFormatting>
  <conditionalFormatting sqref="O57:P59 B16 H16">
    <cfRule type="expression" dxfId="135" priority="1">
      <formula>IF(OR(SHIP_Country_Index=99,SHIP_CrossShipping=1),1,0)</formula>
    </cfRule>
  </conditionalFormatting>
  <pageMargins left="0.23622047244094499" right="0.23622047244094499" top="0.31496062992126" bottom="0.118110236220472" header="0.31496062992126" footer="0.70866141732283505"/>
  <pageSetup scale="99" fitToHeight="0" orientation="portrait" horizontalDpi="1200" verticalDpi="1200" r:id="rId1"/>
  <colBreaks count="1" manualBreakCount="1">
    <brk id="18"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98307" r:id="rId4" name="CheckboxSoftwareHardware">
              <controlPr defaultSize="0" autoFill="0" autoLine="0" autoPict="0" altText="Detailed Prices">
                <anchor moveWithCells="1">
                  <from>
                    <xdr:col>6</xdr:col>
                    <xdr:colOff>25400</xdr:colOff>
                    <xdr:row>6</xdr:row>
                    <xdr:rowOff>25400</xdr:rowOff>
                  </from>
                  <to>
                    <xdr:col>7</xdr:col>
                    <xdr:colOff>127000</xdr:colOff>
                    <xdr:row>7</xdr:row>
                    <xdr:rowOff>25400</xdr:rowOff>
                  </to>
                </anchor>
              </controlPr>
            </control>
          </mc:Choice>
        </mc:AlternateContent>
        <mc:AlternateContent xmlns:mc="http://schemas.openxmlformats.org/markup-compatibility/2006">
          <mc:Choice Requires="x14">
            <control shapeId="98311" r:id="rId5" name="CheckBoxInternetDownload">
              <controlPr defaultSize="0" autoFill="0" autoLine="0" autoPict="0" altText="Detailed Prices">
                <anchor moveWithCells="1">
                  <from>
                    <xdr:col>8</xdr:col>
                    <xdr:colOff>787400</xdr:colOff>
                    <xdr:row>6</xdr:row>
                    <xdr:rowOff>25400</xdr:rowOff>
                  </from>
                  <to>
                    <xdr:col>9</xdr:col>
                    <xdr:colOff>127000</xdr:colOff>
                    <xdr:row>7</xdr:row>
                    <xdr:rowOff>25400</xdr:rowOff>
                  </to>
                </anchor>
              </controlPr>
            </control>
          </mc:Choice>
        </mc:AlternateContent>
        <mc:AlternateContent xmlns:mc="http://schemas.openxmlformats.org/markup-compatibility/2006">
          <mc:Choice Requires="x14">
            <control shapeId="774461" r:id="rId6" name="CheckboxBureaucracy">
              <controlPr defaultSize="0" autoFill="0" autoLine="0" autoPict="0" altText="Detailed Prices">
                <anchor moveWithCells="1">
                  <from>
                    <xdr:col>8</xdr:col>
                    <xdr:colOff>787400</xdr:colOff>
                    <xdr:row>4</xdr:row>
                    <xdr:rowOff>12700</xdr:rowOff>
                  </from>
                  <to>
                    <xdr:col>9</xdr:col>
                    <xdr:colOff>127000</xdr:colOff>
                    <xdr:row>5</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8" id="{5151FF35-9A92-44DA-BE7D-813A23ED9924}">
            <xm:f>IF(OR(D23=QCalc!$I$158,D23=QCalc!$I$159),1,0)</xm:f>
            <x14:dxf>
              <font>
                <color rgb="FFC00000"/>
              </font>
            </x14:dxf>
          </x14:cfRule>
          <xm:sqref>D23:M53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#","INVOICE #")</f>
        <v>INVOICE #</v>
      </c>
      <c r="Q1" s="768"/>
      <c r="R1" s="768"/>
      <c r="T1" s="51"/>
      <c r="U1" s="51"/>
      <c r="V1" s="51"/>
      <c r="W1" s="51"/>
      <c r="X1" s="51"/>
      <c r="Y1" s="51"/>
      <c r="Z1" s="51"/>
      <c r="AA1" s="51"/>
      <c r="AB1" s="51"/>
      <c r="AC1" s="51"/>
      <c r="AD1" s="51"/>
      <c r="AE1" s="51"/>
      <c r="AF1" s="51"/>
      <c r="AG1" s="53"/>
      <c r="AH1" s="51"/>
      <c r="AI1" s="86" t="str">
        <f>P1</f>
        <v>INVOICE #</v>
      </c>
      <c r="AJ1" s="769"/>
      <c r="AK1" s="769"/>
    </row>
    <row r="2" spans="1:37" ht="12" customHeight="1" x14ac:dyDescent="0.2">
      <c r="M2" s="752" t="s">
        <v>18</v>
      </c>
      <c r="N2" s="752"/>
      <c r="O2" s="752"/>
      <c r="P2" s="752"/>
      <c r="Q2" s="745" t="str">
        <f>TEXT("2025-02-10",IF(Francais,"[$-0C0C]d mmmm yyyy","[$-1009]mmmm d, yyyy"))</f>
        <v>February 10, 2025</v>
      </c>
      <c r="R2" s="745"/>
      <c r="T2" s="51"/>
      <c r="U2" s="51"/>
      <c r="V2" s="51"/>
      <c r="W2" s="51"/>
      <c r="X2" s="51"/>
      <c r="Y2" s="51"/>
      <c r="Z2" s="51"/>
      <c r="AA2" s="51"/>
      <c r="AB2" s="51"/>
      <c r="AC2" s="51"/>
      <c r="AD2" s="51"/>
      <c r="AE2" s="51"/>
      <c r="AF2" s="752" t="str">
        <f>M2</f>
        <v>Date</v>
      </c>
      <c r="AG2" s="752"/>
      <c r="AH2" s="752"/>
      <c r="AI2" s="752"/>
      <c r="AJ2" s="745" t="str">
        <f>Q2</f>
        <v>February 10, 2025</v>
      </c>
      <c r="AK2" s="745"/>
    </row>
    <row r="3" spans="1:37" ht="12" customHeight="1" x14ac:dyDescent="0.2">
      <c r="B3" s="58"/>
      <c r="C3" s="58"/>
      <c r="D3" s="58"/>
      <c r="J3" s="443" t="str">
        <f>IF(Distributeurs_Rabais,IF(Francais,"Prix","Distributor"),"")</f>
        <v/>
      </c>
      <c r="M3" s="752"/>
      <c r="N3" s="752"/>
      <c r="O3" s="752"/>
      <c r="P3" s="752"/>
      <c r="Q3" s="761"/>
      <c r="R3" s="761"/>
      <c r="T3" s="51"/>
      <c r="U3" s="58"/>
      <c r="V3" s="58"/>
      <c r="W3" s="58"/>
      <c r="X3" s="51"/>
      <c r="Y3" s="51"/>
      <c r="Z3" s="51"/>
      <c r="AA3" s="51"/>
      <c r="AB3" s="51"/>
      <c r="AC3" s="443" t="str">
        <f>IF(Distributeurs_Rabais,IF(Francais,"Prix","Distributor"),"")</f>
        <v/>
      </c>
      <c r="AD3" s="51"/>
      <c r="AE3" s="51"/>
      <c r="AF3" s="752"/>
      <c r="AG3" s="752"/>
      <c r="AH3" s="752"/>
      <c r="AI3" s="752"/>
      <c r="AJ3" s="761"/>
      <c r="AK3" s="761"/>
    </row>
    <row r="4" spans="1:37" ht="12" customHeight="1" x14ac:dyDescent="0.2">
      <c r="B4" s="59"/>
      <c r="C4" s="59"/>
      <c r="D4" s="59"/>
      <c r="J4" s="443" t="str">
        <f>IF(Distributeurs_Rabais,IF(Francais,"Distributeur","Prices"),"")</f>
        <v/>
      </c>
      <c r="M4" s="752" t="str">
        <f>IF(Francais,"Devise","Currency")</f>
        <v>Currency</v>
      </c>
      <c r="N4" s="752"/>
      <c r="O4" s="752"/>
      <c r="P4" s="752"/>
      <c r="Q4" s="760" t="str">
        <f>IF(OR(IndexZone=3,IndexZone=8,IndexZone=10),"USD",IF(IndexZone=5,"Euros",IF(Francais,"Dollars Canadiens","Canadian Dollars")))</f>
        <v>Euros</v>
      </c>
      <c r="R4" s="760"/>
      <c r="T4" s="51"/>
      <c r="U4" s="59"/>
      <c r="V4" s="59"/>
      <c r="W4" s="59"/>
      <c r="X4" s="51"/>
      <c r="Y4" s="51"/>
      <c r="Z4" s="51"/>
      <c r="AA4" s="51"/>
      <c r="AB4" s="51"/>
      <c r="AC4" s="443" t="str">
        <f>IF(Distributeurs_Rabais,IF(Francais,"Distributeur","Prices"),"")</f>
        <v/>
      </c>
      <c r="AD4" s="51"/>
      <c r="AE4" s="51"/>
      <c r="AF4" s="752" t="str">
        <f>M4</f>
        <v>Currency</v>
      </c>
      <c r="AG4" s="752"/>
      <c r="AH4" s="752"/>
      <c r="AI4" s="752"/>
      <c r="AJ4" s="761" t="str">
        <f>IF(ISBLANK(Q4),"",Q4)</f>
        <v>Euros</v>
      </c>
      <c r="AK4" s="761"/>
    </row>
    <row r="5" spans="1:37" ht="12" customHeight="1" x14ac:dyDescent="0.2">
      <c r="B5" s="59"/>
      <c r="C5" s="59"/>
      <c r="D5" s="59"/>
      <c r="I5"/>
      <c r="J5"/>
      <c r="K5" s="741" t="str">
        <f>REPT(" ",4) &amp; IF(NOT(Francais),"Bureaucracy","Bureaucratie")</f>
        <v xml:space="preserve">    Bureaucracy</v>
      </c>
      <c r="L5" s="741"/>
      <c r="M5" s="752" t="str">
        <f>IF(Francais,"Terme","Payment Terms")</f>
        <v>Payment Terms</v>
      </c>
      <c r="N5" s="752"/>
      <c r="O5" s="752"/>
      <c r="P5" s="752"/>
      <c r="Q5" s="760" t="str">
        <f>Quote!$P$5</f>
        <v>in ADVANCE</v>
      </c>
      <c r="R5" s="760"/>
      <c r="T5" s="51"/>
      <c r="U5" s="59"/>
      <c r="V5" s="59"/>
      <c r="W5" s="59"/>
      <c r="X5" s="51"/>
      <c r="Y5" s="51"/>
      <c r="Z5" s="51"/>
      <c r="AA5" s="51"/>
      <c r="AB5" s="51"/>
      <c r="AD5" s="51"/>
      <c r="AE5" s="51"/>
      <c r="AF5" s="752" t="str">
        <f>M5</f>
        <v>Payment Terms</v>
      </c>
      <c r="AG5" s="752"/>
      <c r="AH5" s="752"/>
      <c r="AI5" s="752"/>
      <c r="AJ5" s="770" t="str">
        <f>Q5</f>
        <v>in ADVANCE</v>
      </c>
      <c r="AK5" s="770"/>
    </row>
    <row r="6" spans="1:37" ht="12" customHeight="1" x14ac:dyDescent="0.2">
      <c r="I6"/>
      <c r="J6"/>
      <c r="K6"/>
      <c r="L6"/>
      <c r="M6" s="752" t="str">
        <f>IF(Francais,"# Client","Customer #")</f>
        <v>Customer #</v>
      </c>
      <c r="N6" s="752"/>
      <c r="O6" s="752"/>
      <c r="P6" s="752"/>
      <c r="Q6" s="761" t="str">
        <f>IF(ISBLANK(Quote!$P$6),"",Quote!$P$6)</f>
        <v/>
      </c>
      <c r="R6" s="761"/>
      <c r="T6" s="51"/>
      <c r="U6" s="51"/>
      <c r="V6" s="51"/>
      <c r="W6" s="51"/>
      <c r="X6" s="51"/>
      <c r="Y6" s="51"/>
      <c r="Z6" s="51"/>
      <c r="AA6" s="51"/>
      <c r="AB6" s="51"/>
      <c r="AC6" s="51"/>
      <c r="AD6" s="51"/>
      <c r="AE6" s="51"/>
      <c r="AF6" s="752" t="str">
        <f>M6</f>
        <v>Customer #</v>
      </c>
      <c r="AG6" s="752"/>
      <c r="AH6" s="752"/>
      <c r="AI6" s="752"/>
      <c r="AJ6" s="770" t="str">
        <f>Q6</f>
        <v/>
      </c>
      <c r="AK6" s="770"/>
    </row>
    <row r="7" spans="1:37" ht="12" customHeight="1" x14ac:dyDescent="0.2">
      <c r="B7" s="60"/>
      <c r="C7" s="60"/>
      <c r="D7" s="60"/>
      <c r="I7" s="741" t="str">
        <f>REPT(" ",4) &amp; IF(NOT(Francais),"Split in 2 Invoices","Séparer en 2 factures")</f>
        <v xml:space="preserve">    Split in 2 Invoices</v>
      </c>
      <c r="J7" s="741"/>
      <c r="K7" s="741" t="str">
        <f>REPT(" ",4) &amp; IF(NOT(Francais),"Internet Download","Téléchargement")</f>
        <v xml:space="preserve">    Internet Download</v>
      </c>
      <c r="L7" s="741"/>
      <c r="M7" s="752" t="str">
        <f>IF(Francais,"# PO","PO #")</f>
        <v>PO #</v>
      </c>
      <c r="N7" s="752"/>
      <c r="O7" s="752"/>
      <c r="P7" s="752"/>
      <c r="Q7" s="761" t="str">
        <f>IF(ISBLANK(Quote!P7),"",Quote!P7)</f>
        <v/>
      </c>
      <c r="R7" s="761"/>
      <c r="T7" s="51"/>
      <c r="U7" s="60"/>
      <c r="V7" s="60"/>
      <c r="W7" s="60"/>
      <c r="X7" s="51"/>
      <c r="Y7" s="51"/>
      <c r="Z7" s="51"/>
      <c r="AA7" s="51"/>
      <c r="AB7" s="51"/>
      <c r="AC7" s="51"/>
      <c r="AD7" s="51"/>
      <c r="AE7" s="51"/>
      <c r="AF7" s="752" t="str">
        <f>IF(Francais,"# PO","PO #")</f>
        <v>PO #</v>
      </c>
      <c r="AG7" s="752"/>
      <c r="AH7" s="752"/>
      <c r="AI7" s="752"/>
      <c r="AJ7" s="761" t="str">
        <f>IF(ISBLANK(Q7),"",Q7)</f>
        <v/>
      </c>
      <c r="AK7" s="761"/>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1" t="str">
        <f>IF(Francais," FACTURATION:"," BILL TO:")</f>
        <v xml:space="preserve"> BILL TO:</v>
      </c>
      <c r="C9" s="751"/>
      <c r="D9" s="751"/>
      <c r="E9" s="751"/>
      <c r="F9" s="751"/>
      <c r="G9" s="751"/>
      <c r="H9" s="134"/>
      <c r="I9" s="751" t="str">
        <f>IF(Francais," LIVRAISON:"," SHIP TO:")</f>
        <v xml:space="preserve"> SHIP TO:</v>
      </c>
      <c r="J9" s="751"/>
      <c r="K9" s="751"/>
      <c r="L9" s="751"/>
      <c r="M9" s="127"/>
      <c r="N9" s="751" t="str">
        <f>IF(Francais," DÉTAILS D'EXPÉDITION:"," SHIPPING DETAILS:")</f>
        <v xml:space="preserve"> SHIPPING DETAILS:</v>
      </c>
      <c r="O9" s="751"/>
      <c r="P9" s="751"/>
      <c r="Q9" s="751"/>
      <c r="R9" s="751"/>
      <c r="T9" s="61"/>
      <c r="U9" s="751" t="str">
        <f>B9</f>
        <v xml:space="preserve"> BILL TO:</v>
      </c>
      <c r="V9" s="751"/>
      <c r="W9" s="751"/>
      <c r="X9" s="751"/>
      <c r="Y9" s="751"/>
      <c r="Z9" s="751"/>
      <c r="AA9" s="134"/>
      <c r="AB9" s="751" t="str">
        <f>I9</f>
        <v xml:space="preserve"> SHIP TO:</v>
      </c>
      <c r="AC9" s="751"/>
      <c r="AD9" s="751"/>
      <c r="AE9" s="751"/>
      <c r="AF9" s="127"/>
      <c r="AG9" s="751" t="str">
        <f>N9</f>
        <v xml:space="preserve"> SHIPPING DETAILS:</v>
      </c>
      <c r="AH9" s="751"/>
      <c r="AI9" s="751"/>
      <c r="AJ9" s="751"/>
      <c r="AK9" s="751"/>
    </row>
    <row r="10" spans="1:37" s="3" customFormat="1" x14ac:dyDescent="0.15">
      <c r="A10" s="61"/>
      <c r="B10" s="751"/>
      <c r="C10" s="751"/>
      <c r="D10" s="751"/>
      <c r="E10" s="751"/>
      <c r="F10" s="751"/>
      <c r="G10" s="751"/>
      <c r="H10" s="134"/>
      <c r="I10" s="751"/>
      <c r="J10" s="751"/>
      <c r="K10" s="751"/>
      <c r="L10" s="751"/>
      <c r="M10" s="127"/>
      <c r="N10" s="751"/>
      <c r="O10" s="751"/>
      <c r="P10" s="751"/>
      <c r="Q10" s="751"/>
      <c r="R10" s="751"/>
      <c r="T10" s="61"/>
      <c r="U10" s="751"/>
      <c r="V10" s="751"/>
      <c r="W10" s="751"/>
      <c r="X10" s="751"/>
      <c r="Y10" s="751"/>
      <c r="Z10" s="751"/>
      <c r="AA10" s="134"/>
      <c r="AB10" s="751"/>
      <c r="AC10" s="751"/>
      <c r="AD10" s="751"/>
      <c r="AE10" s="751"/>
      <c r="AF10" s="127"/>
      <c r="AG10" s="751"/>
      <c r="AH10" s="751"/>
      <c r="AI10" s="751"/>
      <c r="AJ10" s="751"/>
      <c r="AK10" s="751"/>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3" t="str">
        <f>IF(ISBLANK(Home!B10),"",Home!B10)</f>
        <v/>
      </c>
      <c r="C12" s="743"/>
      <c r="D12" s="743"/>
      <c r="E12" s="743"/>
      <c r="F12" s="743"/>
      <c r="G12" s="743"/>
      <c r="H12" s="134"/>
      <c r="I12" s="743" t="str">
        <f>IF(ISBLANK(Home!L10),"",Home!L10)</f>
        <v/>
      </c>
      <c r="J12" s="743"/>
      <c r="K12" s="743"/>
      <c r="L12" s="743"/>
      <c r="M12" s="130"/>
      <c r="N12" s="743" t="str">
        <f>IF(Francais,"Transporteur","Ship via")</f>
        <v>Ship via</v>
      </c>
      <c r="O12" s="743"/>
      <c r="P12" s="743"/>
      <c r="Q12" s="743" t="str">
        <f>IF(ISBLANK(Quote!P12),"",Quote!P12)</f>
        <v/>
      </c>
      <c r="R12" s="743"/>
      <c r="T12" s="51"/>
      <c r="U12" s="743" t="str">
        <f t="shared" ref="U12:U17" si="0">B12</f>
        <v/>
      </c>
      <c r="V12" s="743"/>
      <c r="W12" s="743"/>
      <c r="X12" s="743"/>
      <c r="Y12" s="743"/>
      <c r="Z12" s="743"/>
      <c r="AA12" s="134"/>
      <c r="AB12" s="743" t="str">
        <f t="shared" ref="AB12:AB17" si="1">I12</f>
        <v/>
      </c>
      <c r="AC12" s="743"/>
      <c r="AD12" s="743"/>
      <c r="AE12" s="743"/>
      <c r="AF12" s="130"/>
      <c r="AG12" s="743" t="str">
        <f t="shared" ref="AG12:AG18" si="2">N12</f>
        <v>Ship via</v>
      </c>
      <c r="AH12" s="743"/>
      <c r="AI12" s="743"/>
      <c r="AJ12" s="743" t="str">
        <f>IF(AND(QUOTE_Split_SoftwareHardware,QUOTE_InternetDownload),IF(Francais,"Transporteur","Courier"),IF(ISBLANK(Q12),"",Q12))</f>
        <v/>
      </c>
      <c r="AK12" s="743"/>
    </row>
    <row r="13" spans="1:37" ht="11.25" customHeight="1" x14ac:dyDescent="0.2">
      <c r="B13" s="743" t="str">
        <f>IF(ISBLANK(Home!B11),"",Home!B11)</f>
        <v/>
      </c>
      <c r="C13" s="743"/>
      <c r="D13" s="743"/>
      <c r="E13" s="743"/>
      <c r="F13" s="743"/>
      <c r="G13" s="743"/>
      <c r="H13" s="134"/>
      <c r="I13" s="743" t="str">
        <f>IF(ISBLANK(Home!L11),"",Home!L11)</f>
        <v/>
      </c>
      <c r="J13" s="743"/>
      <c r="K13" s="743"/>
      <c r="L13" s="743"/>
      <c r="M13" s="130"/>
      <c r="N13" s="743" t="s">
        <v>20</v>
      </c>
      <c r="O13" s="743"/>
      <c r="P13" s="743"/>
      <c r="Q13" s="743" t="str">
        <f>IF(ISBLANK(Quote!P13),"",Quote!P13)</f>
        <v/>
      </c>
      <c r="R13" s="743"/>
      <c r="T13" s="51"/>
      <c r="U13" s="743" t="str">
        <f t="shared" si="0"/>
        <v/>
      </c>
      <c r="V13" s="743"/>
      <c r="W13" s="743"/>
      <c r="X13" s="743"/>
      <c r="Y13" s="743"/>
      <c r="Z13" s="743"/>
      <c r="AA13" s="134"/>
      <c r="AB13" s="743" t="str">
        <f t="shared" si="1"/>
        <v/>
      </c>
      <c r="AC13" s="743"/>
      <c r="AD13" s="743"/>
      <c r="AE13" s="743"/>
      <c r="AF13" s="130"/>
      <c r="AG13" s="743" t="str">
        <f t="shared" si="2"/>
        <v>Incoterms</v>
      </c>
      <c r="AH13" s="743"/>
      <c r="AI13" s="743"/>
      <c r="AJ13" s="743" t="str">
        <f t="shared" ref="AJ13:AJ17" si="3">IF(ISBLANK(Q13),"",Q13)</f>
        <v/>
      </c>
      <c r="AK13" s="743"/>
    </row>
    <row r="14" spans="1:37" ht="11.25" customHeight="1" x14ac:dyDescent="0.2">
      <c r="B14" s="743" t="str">
        <f>IF(ISBLANK(Home!B12),"",Home!B12)</f>
        <v/>
      </c>
      <c r="C14" s="743"/>
      <c r="D14" s="743"/>
      <c r="E14" s="743"/>
      <c r="F14" s="743"/>
      <c r="G14" s="743"/>
      <c r="H14" s="134"/>
      <c r="I14" s="743" t="str">
        <f>IF(ISBLANK(Home!L12),"",Home!L12)</f>
        <v/>
      </c>
      <c r="J14" s="743"/>
      <c r="K14" s="743"/>
      <c r="L14" s="743"/>
      <c r="M14" s="130"/>
      <c r="N14" s="743" t="str">
        <f>IF(Francais,"Poids volumétrique (lb)","Billing WT (lbs)")</f>
        <v>Billing WT (lbs)</v>
      </c>
      <c r="O14" s="743"/>
      <c r="P14" s="743"/>
      <c r="Q14" s="743">
        <f>IF(ISBLANK(Quote!P14),"",Quote!P14)</f>
        <v>0</v>
      </c>
      <c r="R14" s="743"/>
      <c r="T14" s="51"/>
      <c r="U14" s="743" t="str">
        <f t="shared" si="0"/>
        <v/>
      </c>
      <c r="V14" s="743"/>
      <c r="W14" s="743"/>
      <c r="X14" s="743"/>
      <c r="Y14" s="743"/>
      <c r="Z14" s="743"/>
      <c r="AA14" s="134"/>
      <c r="AB14" s="743" t="str">
        <f t="shared" si="1"/>
        <v/>
      </c>
      <c r="AC14" s="743"/>
      <c r="AD14" s="743"/>
      <c r="AE14" s="743"/>
      <c r="AF14" s="130"/>
      <c r="AG14" s="743" t="str">
        <f t="shared" si="2"/>
        <v>Billing WT (lbs)</v>
      </c>
      <c r="AH14" s="743"/>
      <c r="AI14" s="743"/>
      <c r="AJ14" s="743">
        <f>IF(NOT(QUOTE_Split_SoftwareHardware),
IF(ISBLANK(Q14),"",Q14),
TotalWeight)</f>
        <v>0</v>
      </c>
      <c r="AK14" s="743"/>
    </row>
    <row r="15" spans="1:37" ht="11.25" customHeight="1" x14ac:dyDescent="0.2">
      <c r="B15" s="743" t="str">
        <f>HOME_City &amp; ", " &amp; HOME_Province &amp; " " &amp; HOME_Zip</f>
        <v xml:space="preserve">,  </v>
      </c>
      <c r="C15" s="743"/>
      <c r="D15" s="743"/>
      <c r="E15" s="743"/>
      <c r="F15" s="743"/>
      <c r="G15" s="743"/>
      <c r="H15" s="134"/>
      <c r="I15" s="743" t="str">
        <f>HOME_City_Ship &amp; ", " &amp; HOME_Province_Ship &amp; " " &amp; HOME_Zip_Ship</f>
        <v xml:space="preserve">,  </v>
      </c>
      <c r="J15" s="743"/>
      <c r="K15" s="743"/>
      <c r="L15" s="743"/>
      <c r="M15" s="130"/>
      <c r="N15" s="743"/>
      <c r="O15" s="743"/>
      <c r="P15" s="743"/>
      <c r="Q15" s="743"/>
      <c r="R15" s="743"/>
      <c r="T15" s="51"/>
      <c r="U15" s="743" t="str">
        <f t="shared" si="0"/>
        <v xml:space="preserve">,  </v>
      </c>
      <c r="V15" s="743"/>
      <c r="W15" s="743"/>
      <c r="X15" s="743"/>
      <c r="Y15" s="743"/>
      <c r="Z15" s="743"/>
      <c r="AA15" s="134"/>
      <c r="AB15" s="743" t="str">
        <f t="shared" si="1"/>
        <v xml:space="preserve">,  </v>
      </c>
      <c r="AC15" s="743"/>
      <c r="AD15" s="743"/>
      <c r="AE15" s="743"/>
      <c r="AF15" s="130"/>
      <c r="AG15" s="743"/>
      <c r="AH15" s="743"/>
      <c r="AI15" s="743"/>
      <c r="AJ15" s="743"/>
      <c r="AK15" s="743"/>
    </row>
    <row r="16" spans="1:37" ht="11.25" customHeight="1" x14ac:dyDescent="0.2">
      <c r="B16" s="743" t="str">
        <f>IF(ISBLANK(Home!B14),"",Home!B14)</f>
        <v/>
      </c>
      <c r="C16" s="743"/>
      <c r="D16" s="743"/>
      <c r="E16" s="743"/>
      <c r="F16" s="743"/>
      <c r="G16" s="743"/>
      <c r="H16" s="134"/>
      <c r="I16" s="743" t="str">
        <f>IF(ISBLANK(Home!L14),"",Home!L14)</f>
        <v/>
      </c>
      <c r="J16" s="743"/>
      <c r="K16" s="743"/>
      <c r="L16" s="743"/>
      <c r="M16" s="130"/>
      <c r="N16" s="743" t="str">
        <f>IF(Francais,"Nombre de colis","Total Package(s)")</f>
        <v>Total Package(s)</v>
      </c>
      <c r="O16" s="743"/>
      <c r="P16" s="743"/>
      <c r="Q16" s="743">
        <f>IF(ISBLANK(Quote!P16),"",Quote!P16)</f>
        <v>0</v>
      </c>
      <c r="R16" s="743"/>
      <c r="T16" s="51"/>
      <c r="U16" s="743" t="str">
        <f>B16</f>
        <v/>
      </c>
      <c r="V16" s="743"/>
      <c r="W16" s="743"/>
      <c r="X16" s="743"/>
      <c r="Y16" s="743"/>
      <c r="Z16" s="743"/>
      <c r="AA16" s="134"/>
      <c r="AB16" s="743" t="str">
        <f>I16</f>
        <v/>
      </c>
      <c r="AC16" s="743"/>
      <c r="AD16" s="743"/>
      <c r="AE16" s="743"/>
      <c r="AF16" s="130"/>
      <c r="AG16" s="743" t="str">
        <f t="shared" si="2"/>
        <v>Total Package(s)</v>
      </c>
      <c r="AH16" s="743"/>
      <c r="AI16" s="743"/>
      <c r="AJ16" s="743">
        <f>IF(NOT(QUOTE_Split_SoftwareHardware),
IF(ISBLANK(Q16),"",Q16),
TotalPackages)</f>
        <v>0</v>
      </c>
      <c r="AK16" s="743"/>
    </row>
    <row r="17" spans="1:37" ht="11.25" customHeight="1" x14ac:dyDescent="0.2">
      <c r="B17" s="754" t="str">
        <f>"Contact: "&amp;Home!B9&amp;" "&amp;Home!F9&amp;" "&amp;Home!H9</f>
        <v xml:space="preserve">Contact:   </v>
      </c>
      <c r="C17" s="754"/>
      <c r="D17" s="754"/>
      <c r="E17" s="754"/>
      <c r="F17" s="754"/>
      <c r="G17" s="754"/>
      <c r="H17" s="137"/>
      <c r="I17" s="754" t="str">
        <f>"Contact: "&amp;Home!L9&amp;" "&amp;Home!P9&amp;" "&amp;Home!R9</f>
        <v xml:space="preserve">Contact:   </v>
      </c>
      <c r="J17" s="754"/>
      <c r="K17" s="754"/>
      <c r="L17" s="754"/>
      <c r="M17" s="130"/>
      <c r="N17" s="743" t="str">
        <f>IF(Francais,"No. de suivi","Tracking No.")</f>
        <v>Tracking No.</v>
      </c>
      <c r="O17" s="743"/>
      <c r="P17" s="743"/>
      <c r="Q17" s="773"/>
      <c r="R17" s="773"/>
      <c r="T17" s="51"/>
      <c r="U17" s="754" t="str">
        <f t="shared" si="0"/>
        <v xml:space="preserve">Contact:   </v>
      </c>
      <c r="V17" s="754"/>
      <c r="W17" s="754"/>
      <c r="X17" s="754"/>
      <c r="Y17" s="754"/>
      <c r="Z17" s="754"/>
      <c r="AA17" s="137"/>
      <c r="AB17" s="754" t="str">
        <f t="shared" si="1"/>
        <v xml:space="preserve">Contact:   </v>
      </c>
      <c r="AC17" s="754"/>
      <c r="AD17" s="754"/>
      <c r="AE17" s="754"/>
      <c r="AF17" s="130"/>
      <c r="AG17" s="743" t="str">
        <f t="shared" si="2"/>
        <v>Tracking No.</v>
      </c>
      <c r="AH17" s="743"/>
      <c r="AI17" s="743"/>
      <c r="AJ17" s="772" t="str">
        <f t="shared" si="3"/>
        <v/>
      </c>
      <c r="AK17" s="772"/>
    </row>
    <row r="18" spans="1:37" ht="11.25" customHeight="1" x14ac:dyDescent="0.2">
      <c r="B18" s="325" t="str">
        <f>IF(Francais,"Tél.","Tel.")</f>
        <v>Tel.</v>
      </c>
      <c r="C18" s="754" t="str">
        <f>IF(ISBLANK(Home!B15),"",Home!B15)</f>
        <v/>
      </c>
      <c r="D18" s="754"/>
      <c r="E18" s="754"/>
      <c r="F18" s="754"/>
      <c r="G18" s="754"/>
      <c r="H18" s="137"/>
      <c r="I18" s="325" t="str">
        <f>IF(Francais,"Tél.","Tel.")</f>
        <v>Tel.</v>
      </c>
      <c r="J18" s="754" t="str">
        <f>IF(ISBLANK(Home!L15),"",Home!L15)</f>
        <v/>
      </c>
      <c r="K18" s="754"/>
      <c r="L18" s="754"/>
      <c r="M18" s="130"/>
      <c r="N18" s="743" t="str">
        <f>IF(Francais,"Dimensions boîte (po)","Box Dimensions (in)")</f>
        <v>Box Dimensions (in)</v>
      </c>
      <c r="O18" s="743"/>
      <c r="P18" s="743"/>
      <c r="Q18" s="766" t="str">
        <f>IF(ISBLANK(Quote!P17),"",Quote!P17)</f>
        <v/>
      </c>
      <c r="R18" s="766"/>
      <c r="T18" s="51"/>
      <c r="U18" s="325" t="str">
        <f>IF(Francais,"Tél.","Tel.")</f>
        <v>Tel.</v>
      </c>
      <c r="V18" s="759" t="str">
        <f>C18</f>
        <v/>
      </c>
      <c r="W18" s="759"/>
      <c r="X18" s="754"/>
      <c r="Y18" s="754"/>
      <c r="Z18" s="754"/>
      <c r="AA18" s="137"/>
      <c r="AB18" s="325" t="str">
        <f>IF(Francais,"Tél.","Tel.")</f>
        <v>Tel.</v>
      </c>
      <c r="AC18" s="754" t="str">
        <f>J18</f>
        <v/>
      </c>
      <c r="AD18" s="754"/>
      <c r="AE18" s="754"/>
      <c r="AF18" s="130"/>
      <c r="AG18" s="743" t="str">
        <f t="shared" si="2"/>
        <v>Box Dimensions (in)</v>
      </c>
      <c r="AH18" s="743"/>
      <c r="AI18" s="743"/>
      <c r="AJ18" s="766" t="str">
        <f>IF(NOT(QUOTE_Split_SoftwareHardware),
IF(ISBLANK(Q18),"",Q18),Vars!N86)</f>
        <v/>
      </c>
      <c r="AK18" s="766"/>
    </row>
    <row r="19" spans="1:37" ht="11" customHeight="1" x14ac:dyDescent="0.2">
      <c r="B19" s="754"/>
      <c r="C19" s="754"/>
      <c r="D19" s="754"/>
      <c r="E19" s="754"/>
      <c r="F19" s="754"/>
      <c r="G19" s="754"/>
      <c r="H19" s="137"/>
      <c r="I19" s="754" t="str">
        <f>IF(Francais,
"#Id Taxes / EORI",
"Tax Id / EORI #"
)</f>
        <v>Tax Id / EORI #</v>
      </c>
      <c r="J19" s="754"/>
      <c r="K19" s="746" t="str">
        <f>IF(ISBLANK(Quote!J19),"",Quote!J19)</f>
        <v/>
      </c>
      <c r="L19" s="746"/>
      <c r="M19" s="325"/>
      <c r="N19" s="325"/>
      <c r="O19" s="325"/>
      <c r="P19" s="130"/>
      <c r="Q19" s="766"/>
      <c r="R19" s="766"/>
      <c r="T19" s="51"/>
      <c r="U19" s="754"/>
      <c r="V19" s="754"/>
      <c r="W19" s="754"/>
      <c r="X19" s="754"/>
      <c r="Y19" s="754"/>
      <c r="Z19" s="754"/>
      <c r="AA19" s="137"/>
      <c r="AB19" s="754" t="str">
        <f>IF(Francais,
"#Id Taxes / EORI",
"Tax Id / EORI #"
)</f>
        <v>Tax Id / EORI #</v>
      </c>
      <c r="AC19" s="754"/>
      <c r="AD19" s="746" t="str">
        <f>IF(ISBLANK(K19),"",K19)</f>
        <v/>
      </c>
      <c r="AE19" s="746"/>
      <c r="AF19" s="325"/>
      <c r="AG19" s="325"/>
      <c r="AH19" s="325"/>
      <c r="AI19" s="130"/>
      <c r="AJ19" s="766"/>
      <c r="AK19" s="766"/>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QTY</v>
      </c>
      <c r="D21" s="80" t="str">
        <f>IF(Francais,"EXP.","SHIP.")</f>
        <v>SHIP.</v>
      </c>
      <c r="E21" s="755" t="s">
        <v>22</v>
      </c>
      <c r="F21" s="755"/>
      <c r="G21" s="80"/>
      <c r="H21" s="80"/>
      <c r="I21" s="80"/>
      <c r="J21" s="80"/>
      <c r="K21" s="80"/>
      <c r="L21" s="80"/>
      <c r="M21" s="80"/>
      <c r="N21" s="80"/>
      <c r="O21" s="767" t="str">
        <f>IF(QUOTE_DetailedPrices,"DETAILED EXT. PRICE",IF(Francais,"CODE HARMONISÉ","HARMONIZED CODE"))</f>
        <v>HARMONIZED CODE</v>
      </c>
      <c r="P21" s="767"/>
      <c r="Q21" s="81" t="str">
        <f>IF(Francais,"PRIX UNITAIRE","UNIT PRICE")</f>
        <v>UNIT PRICE</v>
      </c>
      <c r="R21" s="81" t="str">
        <f>IF(Francais,"SOUS-TOTAL","EXTENDED PRICE")</f>
        <v>EXTENDED PRICE</v>
      </c>
      <c r="T21" s="329"/>
      <c r="U21" s="79" t="s">
        <v>38</v>
      </c>
      <c r="V21" s="80" t="str">
        <f>IF(Francais,"QTÉ","QTY")</f>
        <v>QTY</v>
      </c>
      <c r="W21" s="80" t="str">
        <f>IF(Francais,"EXP.","SHIP.")</f>
        <v>SHIP.</v>
      </c>
      <c r="X21" s="755" t="s">
        <v>22</v>
      </c>
      <c r="Y21" s="755"/>
      <c r="Z21" s="80"/>
      <c r="AA21" s="80"/>
      <c r="AB21" s="80"/>
      <c r="AC21" s="80"/>
      <c r="AD21" s="80"/>
      <c r="AE21" s="80"/>
      <c r="AF21" s="80"/>
      <c r="AG21" s="80"/>
      <c r="AH21" s="771" t="str">
        <f>IF(QUOTE_DetailedPrices,"DETAILED EXT. PRICE",IF(Francais,"CODE HARMONISÉ","HARMONIZED CODE"))</f>
        <v>HARMONIZED CODE</v>
      </c>
      <c r="AI21" s="771"/>
      <c r="AJ21" s="81" t="str">
        <f>IF(Francais,"PRIX UNITAIRE","UNIT PRICE")</f>
        <v>UNIT PRICE</v>
      </c>
      <c r="AK21" s="81" t="str">
        <f>IF(Francais,"SOUS-TOTAL","EXTENDED PRICE")</f>
        <v>EXTENDED PRICE</v>
      </c>
    </row>
    <row r="22" spans="1:37" ht="11" customHeight="1" x14ac:dyDescent="0.2">
      <c r="A22" s="88"/>
      <c r="B22" s="330"/>
      <c r="C22" s="331"/>
      <c r="D22" s="331"/>
      <c r="E22" s="778" t="str">
        <f>IF(ISBLANK(Quote!D22),"",Quote!D22)</f>
        <v/>
      </c>
      <c r="F22" s="756"/>
      <c r="G22" s="756"/>
      <c r="H22" s="756"/>
      <c r="I22" s="756"/>
      <c r="J22" s="756"/>
      <c r="K22" s="756"/>
      <c r="L22" s="756"/>
      <c r="M22" s="756"/>
      <c r="N22" s="756"/>
      <c r="O22" s="776"/>
      <c r="P22" s="777"/>
      <c r="Q22" s="268"/>
      <c r="R22" s="269"/>
      <c r="T22" s="88"/>
      <c r="U22" s="330"/>
      <c r="V22" s="331"/>
      <c r="W22" s="331"/>
      <c r="X22" s="778" t="str">
        <f>IF(ISBLANK(Quote!V22),"",Quote!V22)</f>
        <v/>
      </c>
      <c r="Y22" s="756"/>
      <c r="Z22" s="756"/>
      <c r="AA22" s="756"/>
      <c r="AB22" s="756"/>
      <c r="AC22" s="756"/>
      <c r="AD22" s="756"/>
      <c r="AE22" s="756"/>
      <c r="AF22" s="756"/>
      <c r="AG22" s="756"/>
      <c r="AH22" s="776"/>
      <c r="AI22" s="777"/>
      <c r="AJ22" s="268"/>
      <c r="AK22" s="269"/>
    </row>
    <row r="23" spans="1:37" ht="11.25" customHeight="1" x14ac:dyDescent="0.2">
      <c r="A23" s="89"/>
      <c r="B23" s="78" t="str">
        <f>IF(AND(C23&gt;0,C23&lt;&gt;"",AND(LEFT(E23,7)&lt;&gt;"   • Wi",LEFT(E23,7)&lt;&gt;"   • XL")),
COUNT($C$23:C23),"")</f>
        <v/>
      </c>
      <c r="C23" s="87" t="str">
        <f>IF(NOT(QUOTE_Split_SoftwareHardware),QCalc!Q3,QCalc!X3)</f>
        <v/>
      </c>
      <c r="D23" s="87" t="str">
        <f>C23</f>
        <v/>
      </c>
      <c r="E23" s="734" t="str">
        <f>IF(NOT(QUOTE_Split_SoftwareHardware),QCalc!N3,QCalc!U3)</f>
        <v/>
      </c>
      <c r="F23" s="735"/>
      <c r="G23" s="735"/>
      <c r="H23" s="735"/>
      <c r="I23" s="735"/>
      <c r="J23" s="735"/>
      <c r="K23" s="735"/>
      <c r="L23" s="735"/>
      <c r="M23" s="735"/>
      <c r="N23" s="735"/>
      <c r="O23" s="736" t="str">
        <f>IF(NOT(QUOTE_Split_SoftwareHardware),
IF(QUOTE_DetailedPrices,QCalc!P3,QCalc!O3),
IF(QUOTE_DetailedPrices,QCalc!W3,QCalc!V3))</f>
        <v/>
      </c>
      <c r="P23" s="737"/>
      <c r="Q23" s="270" t="str">
        <f>IF($D23=0,0,IF(NOT(QUOTE_Split_SoftwareHardware),QCalc!R3,QCalc!Y3))</f>
        <v/>
      </c>
      <c r="R23" s="271" t="str">
        <f>IF($D23=0,0,
IF(NOT(QUOTE_Split_SoftwareHardware),QCalc!S3,QCalc!Z3)
)</f>
        <v/>
      </c>
      <c r="T23" s="89"/>
      <c r="U23" s="78" t="str">
        <f>IF(AND(V23&gt;0,V23&lt;&gt;"",AND(LEFT(X23,7)&lt;&gt;"   • Wi",LEFT(X23,7)&lt;&gt;"   • XL")),
COUNT($V$23:V23)
+IF(NOT(QUOTE_Split_SoftwareHardware),MAX($B$23:$B$53),0),"")</f>
        <v/>
      </c>
      <c r="V23" s="87" t="str">
        <f>IF(NOT(QUOTE_Split_SoftwareHardware),QCalc!Q34,QCalc!AE3)</f>
        <v/>
      </c>
      <c r="W23" s="87" t="str">
        <f>V23</f>
        <v/>
      </c>
      <c r="X23" s="734" t="str">
        <f>IF(NOT(QUOTE_Split_SoftwareHardware),QCalc!N34,QCalc!AB3)</f>
        <v/>
      </c>
      <c r="Y23" s="735"/>
      <c r="Z23" s="735"/>
      <c r="AA23" s="735"/>
      <c r="AB23" s="735"/>
      <c r="AC23" s="735"/>
      <c r="AD23" s="735"/>
      <c r="AE23" s="735"/>
      <c r="AF23" s="735"/>
      <c r="AG23" s="735"/>
      <c r="AH23" s="736" t="str">
        <f>IF(NOT(QUOTE_Split_SoftwareHardware),
IF(QUOTE_DetailedPrices,QCalc!P34,QCalc!O34),
IF(QUOTE_DetailedPrices,QCalc!AD3,QCalc!AC3))</f>
        <v/>
      </c>
      <c r="AI23" s="737"/>
      <c r="AJ23" s="270" t="str">
        <f>IF($D23=0,0,IF(NOT(QUOTE_Split_SoftwareHardware),QCalc!R34,QCalc!AF3))</f>
        <v/>
      </c>
      <c r="AK23" s="271" t="str">
        <f>IF($D23=0,0,IF(NOT(QUOTE_Split_SoftwareHardware),QCalc!S34,QCalc!AG3))</f>
        <v/>
      </c>
    </row>
    <row r="24" spans="1:37" ht="11.25" customHeight="1" x14ac:dyDescent="0.2">
      <c r="A24" s="89"/>
      <c r="B24" s="78" t="str">
        <f>IF(AND(C24&gt;0,C24&lt;&gt;"",AND(LEFT(E24,7)&lt;&gt;"   • Wi",LEFT(E24,7)&lt;&gt;"   • XL")),
COUNT($C$23:C24),"")</f>
        <v/>
      </c>
      <c r="C24" s="87" t="str">
        <f>IF(NOT(QUOTE_Split_SoftwareHardware),QCalc!Q4,QCalc!X4)</f>
        <v/>
      </c>
      <c r="D24" s="131" t="str">
        <f t="shared" ref="D24:D53" si="4">C24</f>
        <v/>
      </c>
      <c r="E24" s="734" t="str">
        <f>IF(NOT(QUOTE_Split_SoftwareHardware),QCalc!N4,QCalc!U4)</f>
        <v/>
      </c>
      <c r="F24" s="735"/>
      <c r="G24" s="735"/>
      <c r="H24" s="735"/>
      <c r="I24" s="735"/>
      <c r="J24" s="735"/>
      <c r="K24" s="735"/>
      <c r="L24" s="735"/>
      <c r="M24" s="735"/>
      <c r="N24" s="735"/>
      <c r="O24" s="736" t="str">
        <f>IF(NOT(QUOTE_Split_SoftwareHardware),
IF(QUOTE_DetailedPrices,QCalc!P4,QCalc!O4),
IF(QUOTE_DetailedPrices,QCalc!W4,QCalc!V4))</f>
        <v/>
      </c>
      <c r="P24" s="737"/>
      <c r="Q24" s="270" t="str">
        <f>IF($D24=0,0,IF(NOT(QUOTE_Split_SoftwareHardware),QCalc!R4,QCalc!Y4))</f>
        <v/>
      </c>
      <c r="R24" s="271" t="str">
        <f>IF($D24=0,0,
IF(NOT(QUOTE_Split_SoftwareHardware),QCalc!S4,QCalc!Z4)
)</f>
        <v/>
      </c>
      <c r="T24" s="89"/>
      <c r="U24" s="78" t="str">
        <f>IF(AND(V24&gt;0,V24&lt;&gt;"",AND(LEFT(X24,7)&lt;&gt;"   • Wi",LEFT(X24,7)&lt;&gt;"   • XL")),
COUNT($V$23:V24)
+IF(NOT(QUOTE_Split_SoftwareHardware),MAX($B$23:$B$53),0),"")</f>
        <v/>
      </c>
      <c r="V24" s="87" t="str">
        <f>IF(NOT(QUOTE_Split_SoftwareHardware),QCalc!Q35,QCalc!AE4)</f>
        <v/>
      </c>
      <c r="W24" s="87" t="str">
        <f t="shared" ref="W24:W53" si="5">V24</f>
        <v/>
      </c>
      <c r="X24" s="734" t="str">
        <f>IF(NOT(QUOTE_Split_SoftwareHardware),QCalc!N35,QCalc!AB4)</f>
        <v/>
      </c>
      <c r="Y24" s="735"/>
      <c r="Z24" s="735"/>
      <c r="AA24" s="735"/>
      <c r="AB24" s="735"/>
      <c r="AC24" s="735"/>
      <c r="AD24" s="735"/>
      <c r="AE24" s="735"/>
      <c r="AF24" s="735"/>
      <c r="AG24" s="735"/>
      <c r="AH24" s="736" t="str">
        <f>IF(NOT(QUOTE_Split_SoftwareHardware),
IF(QUOTE_DetailedPrices,QCalc!P35,QCalc!O35),
IF(QUOTE_DetailedPrices,QCalc!AD4,QCalc!AC4))</f>
        <v/>
      </c>
      <c r="AI24" s="737"/>
      <c r="AJ24" s="270" t="str">
        <f>IF($D24=0,0,IF(NOT(QUOTE_Split_SoftwareHardware),QCalc!R35,QCalc!AF4))</f>
        <v/>
      </c>
      <c r="AK24" s="271" t="str">
        <f>IF($D24=0,0,IF(NOT(QUOTE_Split_SoftwareHardware),QCalc!S35,QCalc!AG4))</f>
        <v/>
      </c>
    </row>
    <row r="25" spans="1:37" ht="11.25" customHeight="1" x14ac:dyDescent="0.2">
      <c r="A25" s="89"/>
      <c r="B25" s="78" t="str">
        <f>IF(AND(C25&gt;0,C25&lt;&gt;"",AND(LEFT(E25,7)&lt;&gt;"   • Wi",LEFT(E25,7)&lt;&gt;"   • XL")),
COUNT($C$23:C25),"")</f>
        <v/>
      </c>
      <c r="C25" s="87" t="str">
        <f>IF(NOT(QUOTE_Split_SoftwareHardware),QCalc!Q5,QCalc!X5)</f>
        <v/>
      </c>
      <c r="D25" s="132" t="str">
        <f t="shared" si="4"/>
        <v/>
      </c>
      <c r="E25" s="734" t="str">
        <f>IF(NOT(QUOTE_Split_SoftwareHardware),QCalc!N5,QCalc!U5)</f>
        <v/>
      </c>
      <c r="F25" s="735"/>
      <c r="G25" s="735"/>
      <c r="H25" s="735"/>
      <c r="I25" s="735"/>
      <c r="J25" s="735"/>
      <c r="K25" s="735"/>
      <c r="L25" s="735"/>
      <c r="M25" s="735"/>
      <c r="N25" s="735"/>
      <c r="O25" s="774" t="str">
        <f>IF(NOT(QUOTE_Split_SoftwareHardware),
IF(QUOTE_DetailedPrices,QCalc!P5,QCalc!O5),
IF(QUOTE_DetailedPrices,QCalc!W5,QCalc!V5))</f>
        <v/>
      </c>
      <c r="P25" s="775"/>
      <c r="Q25" s="270" t="str">
        <f>IF($D25=0,0,IF(NOT(QUOTE_Split_SoftwareHardware),QCalc!R5,QCalc!Y5))</f>
        <v/>
      </c>
      <c r="R25" s="271" t="str">
        <f>IF($D25=0,0,
IF(NOT(QUOTE_Split_SoftwareHardware),QCalc!S5,QCalc!Z5)
)</f>
        <v/>
      </c>
      <c r="T25" s="89"/>
      <c r="U25" s="78" t="str">
        <f>IF(AND(V25&gt;0,V25&lt;&gt;"",AND(LEFT(X25,7)&lt;&gt;"   • Wi",LEFT(X25,7)&lt;&gt;"   • XL")),
COUNT($V$23:V25)
+IF(NOT(QUOTE_Split_SoftwareHardware),MAX($B$23:$B$53),0),"")</f>
        <v/>
      </c>
      <c r="V25" s="87" t="str">
        <f>IF(NOT(QUOTE_Split_SoftwareHardware),QCalc!Q36,QCalc!AE5)</f>
        <v/>
      </c>
      <c r="W25" s="87" t="str">
        <f t="shared" si="5"/>
        <v/>
      </c>
      <c r="X25" s="734" t="str">
        <f>IF(NOT(QUOTE_Split_SoftwareHardware),QCalc!N36,QCalc!AB5)</f>
        <v/>
      </c>
      <c r="Y25" s="735"/>
      <c r="Z25" s="735"/>
      <c r="AA25" s="735"/>
      <c r="AB25" s="735"/>
      <c r="AC25" s="735"/>
      <c r="AD25" s="735"/>
      <c r="AE25" s="735"/>
      <c r="AF25" s="735"/>
      <c r="AG25" s="735"/>
      <c r="AH25" s="736" t="str">
        <f>IF(NOT(QUOTE_Split_SoftwareHardware),
IF(QUOTE_DetailedPrices,QCalc!P36,QCalc!O36),
IF(QUOTE_DetailedPrices,QCalc!AD5,QCalc!AC5))</f>
        <v/>
      </c>
      <c r="AI25" s="737"/>
      <c r="AJ25" s="270" t="str">
        <f>IF($D25=0,0,IF(NOT(QUOTE_Split_SoftwareHardware),QCalc!R36,QCalc!AF5))</f>
        <v/>
      </c>
      <c r="AK25" s="271" t="str">
        <f>IF($D25=0,0,IF(NOT(QUOTE_Split_SoftwareHardware),QCalc!S36,QCalc!AG5))</f>
        <v/>
      </c>
    </row>
    <row r="26" spans="1:37" ht="11.25" customHeight="1" x14ac:dyDescent="0.2">
      <c r="A26" s="89"/>
      <c r="B26" s="78" t="str">
        <f>IF(AND(C26&gt;0,C26&lt;&gt;"",AND(LEFT(E26,7)&lt;&gt;"   • Wi",LEFT(E26,7)&lt;&gt;"   • XL")),
COUNT($C$23:C26),"")</f>
        <v/>
      </c>
      <c r="C26" s="87" t="str">
        <f>IF(NOT(QUOTE_Split_SoftwareHardware),QCalc!Q6,QCalc!X6)</f>
        <v/>
      </c>
      <c r="D26" s="132" t="str">
        <f t="shared" si="4"/>
        <v/>
      </c>
      <c r="E26" s="734" t="str">
        <f>IF(NOT(QUOTE_Split_SoftwareHardware),QCalc!N6,QCalc!U6)</f>
        <v/>
      </c>
      <c r="F26" s="735"/>
      <c r="G26" s="735"/>
      <c r="H26" s="735"/>
      <c r="I26" s="735"/>
      <c r="J26" s="735"/>
      <c r="K26" s="735"/>
      <c r="L26" s="735"/>
      <c r="M26" s="735"/>
      <c r="N26" s="735"/>
      <c r="O26" s="774" t="str">
        <f>IF(NOT(QUOTE_Split_SoftwareHardware),
IF(QUOTE_DetailedPrices,QCalc!P6,QCalc!O6),
IF(QUOTE_DetailedPrices,QCalc!W6,QCalc!V6))</f>
        <v/>
      </c>
      <c r="P26" s="775"/>
      <c r="Q26" s="270" t="str">
        <f>IF($D26=0,0,IF(NOT(QUOTE_Split_SoftwareHardware),QCalc!R6,QCalc!Y6))</f>
        <v/>
      </c>
      <c r="R26" s="271" t="str">
        <f>IF($D26=0,0,
IF(NOT(QUOTE_Split_SoftwareHardware),QCalc!S6,QCalc!Z6)
)</f>
        <v/>
      </c>
      <c r="T26" s="89"/>
      <c r="U26" s="78" t="str">
        <f>IF(AND(V26&gt;0,V26&lt;&gt;"",AND(LEFT(X26,7)&lt;&gt;"   • Wi",LEFT(X26,7)&lt;&gt;"   • XL")),
COUNT($V$23:V26)
+IF(NOT(QUOTE_Split_SoftwareHardware),MAX($B$23:$B$53),0),"")</f>
        <v/>
      </c>
      <c r="V26" s="87" t="str">
        <f>IF(NOT(QUOTE_Split_SoftwareHardware),QCalc!Q37,QCalc!AE6)</f>
        <v/>
      </c>
      <c r="W26" s="87" t="str">
        <f t="shared" si="5"/>
        <v/>
      </c>
      <c r="X26" s="734" t="str">
        <f>IF(NOT(QUOTE_Split_SoftwareHardware),QCalc!N37,QCalc!AB6)</f>
        <v/>
      </c>
      <c r="Y26" s="735"/>
      <c r="Z26" s="735"/>
      <c r="AA26" s="735"/>
      <c r="AB26" s="735"/>
      <c r="AC26" s="735"/>
      <c r="AD26" s="735"/>
      <c r="AE26" s="735"/>
      <c r="AF26" s="735"/>
      <c r="AG26" s="735"/>
      <c r="AH26" s="736" t="str">
        <f>IF(NOT(QUOTE_Split_SoftwareHardware),
IF(QUOTE_DetailedPrices,QCalc!P37,QCalc!O37),
IF(QUOTE_DetailedPrices,QCalc!AD6,QCalc!AC6))</f>
        <v/>
      </c>
      <c r="AI26" s="737"/>
      <c r="AJ26" s="270" t="str">
        <f>IF($D26=0,0,IF(NOT(QUOTE_Split_SoftwareHardware),QCalc!R37,QCalc!AF6))</f>
        <v/>
      </c>
      <c r="AK26" s="271" t="str">
        <f>IF($D26=0,0,IF(NOT(QUOTE_Split_SoftwareHardware),QCalc!S37,QCalc!AG6))</f>
        <v/>
      </c>
    </row>
    <row r="27" spans="1:37" ht="11.25" customHeight="1" x14ac:dyDescent="0.2">
      <c r="A27" s="89"/>
      <c r="B27" s="78" t="str">
        <f>IF(AND(C27&gt;0,C27&lt;&gt;"",AND(LEFT(E27,7)&lt;&gt;"   • Wi",LEFT(E27,7)&lt;&gt;"   • XL")),
COUNT($C$23:C27),"")</f>
        <v/>
      </c>
      <c r="C27" s="87" t="str">
        <f>IF(NOT(QUOTE_Split_SoftwareHardware),QCalc!Q7,QCalc!X7)</f>
        <v/>
      </c>
      <c r="D27" s="132" t="str">
        <f t="shared" si="4"/>
        <v/>
      </c>
      <c r="E27" s="734" t="str">
        <f>IF(NOT(QUOTE_Split_SoftwareHardware),QCalc!N7,QCalc!U7)</f>
        <v/>
      </c>
      <c r="F27" s="735"/>
      <c r="G27" s="735"/>
      <c r="H27" s="735"/>
      <c r="I27" s="735"/>
      <c r="J27" s="735"/>
      <c r="K27" s="735"/>
      <c r="L27" s="735"/>
      <c r="M27" s="735"/>
      <c r="N27" s="735"/>
      <c r="O27" s="774" t="str">
        <f>IF(NOT(QUOTE_Split_SoftwareHardware),
IF(QUOTE_DetailedPrices,QCalc!P7,QCalc!O7),
IF(QUOTE_DetailedPrices,QCalc!W7,QCalc!V7))</f>
        <v/>
      </c>
      <c r="P27" s="775"/>
      <c r="Q27" s="270" t="str">
        <f>IF($D27=0,0,IF(NOT(QUOTE_Split_SoftwareHardware),QCalc!R7,QCalc!Y7))</f>
        <v/>
      </c>
      <c r="R27" s="271" t="str">
        <f>IF($D27=0,0,
IF(NOT(QUOTE_Split_SoftwareHardware),QCalc!S7,QCalc!Z7)
)</f>
        <v/>
      </c>
      <c r="T27" s="89"/>
      <c r="U27" s="78" t="str">
        <f>IF(AND(V27&gt;0,V27&lt;&gt;"",AND(LEFT(X27,7)&lt;&gt;"   • Wi",LEFT(X27,7)&lt;&gt;"   • XL")),
COUNT($V$23:V27)
+IF(NOT(QUOTE_Split_SoftwareHardware),MAX($B$23:$B$53),0),"")</f>
        <v/>
      </c>
      <c r="V27" s="87" t="str">
        <f>IF(NOT(QUOTE_Split_SoftwareHardware),QCalc!Q38,QCalc!AE7)</f>
        <v/>
      </c>
      <c r="W27" s="87" t="str">
        <f t="shared" si="5"/>
        <v/>
      </c>
      <c r="X27" s="734" t="str">
        <f>IF(NOT(QUOTE_Split_SoftwareHardware),QCalc!N38,QCalc!AB7)</f>
        <v/>
      </c>
      <c r="Y27" s="735"/>
      <c r="Z27" s="735"/>
      <c r="AA27" s="735"/>
      <c r="AB27" s="735"/>
      <c r="AC27" s="735"/>
      <c r="AD27" s="735"/>
      <c r="AE27" s="735"/>
      <c r="AF27" s="735"/>
      <c r="AG27" s="735"/>
      <c r="AH27" s="736" t="str">
        <f>IF(NOT(QUOTE_Split_SoftwareHardware),
IF(QUOTE_DetailedPrices,QCalc!P38,QCalc!O38),
IF(QUOTE_DetailedPrices,QCalc!AD7,QCalc!AC7))</f>
        <v/>
      </c>
      <c r="AI27" s="737"/>
      <c r="AJ27" s="270" t="str">
        <f>IF($D27=0,0,IF(NOT(QUOTE_Split_SoftwareHardware),QCalc!R38,QCalc!AF7))</f>
        <v/>
      </c>
      <c r="AK27" s="271" t="str">
        <f>IF($D27=0,0,IF(NOT(QUOTE_Split_SoftwareHardware),QCalc!S38,QCalc!AG7))</f>
        <v/>
      </c>
    </row>
    <row r="28" spans="1:37" ht="11.25" customHeight="1" x14ac:dyDescent="0.2">
      <c r="A28" s="89"/>
      <c r="B28" s="78" t="str">
        <f>IF(AND(C28&gt;0,C28&lt;&gt;"",AND(LEFT(E28,7)&lt;&gt;"   • Wi",LEFT(E28,7)&lt;&gt;"   • XL")),
COUNT($C$23:C28),"")</f>
        <v/>
      </c>
      <c r="C28" s="87" t="str">
        <f>IF(NOT(QUOTE_Split_SoftwareHardware),QCalc!Q8,QCalc!X8)</f>
        <v/>
      </c>
      <c r="D28" s="132" t="str">
        <f t="shared" si="4"/>
        <v/>
      </c>
      <c r="E28" s="734" t="str">
        <f>IF(NOT(QUOTE_Split_SoftwareHardware),QCalc!N8,QCalc!U8)</f>
        <v/>
      </c>
      <c r="F28" s="735"/>
      <c r="G28" s="735"/>
      <c r="H28" s="735"/>
      <c r="I28" s="735"/>
      <c r="J28" s="735"/>
      <c r="K28" s="735"/>
      <c r="L28" s="735"/>
      <c r="M28" s="735"/>
      <c r="N28" s="735"/>
      <c r="O28" s="774" t="str">
        <f>IF(NOT(QUOTE_Split_SoftwareHardware),
IF(QUOTE_DetailedPrices,QCalc!P8,QCalc!O8),
IF(QUOTE_DetailedPrices,QCalc!W8,QCalc!V8))</f>
        <v/>
      </c>
      <c r="P28" s="775"/>
      <c r="Q28" s="270" t="str">
        <f>IF($D28=0,0,IF(NOT(QUOTE_Split_SoftwareHardware),QCalc!R8,QCalc!Y8))</f>
        <v/>
      </c>
      <c r="R28" s="271" t="str">
        <f>IF($D28=0,0,
IF(NOT(QUOTE_Split_SoftwareHardware),QCalc!S8,QCalc!Z8)
)</f>
        <v/>
      </c>
      <c r="T28" s="89"/>
      <c r="U28" s="78" t="str">
        <f>IF(AND(V28&gt;0,V28&lt;&gt;"",AND(LEFT(X28,7)&lt;&gt;"   • Wi",LEFT(X28,7)&lt;&gt;"   • XL")),
COUNT($V$23:V28)
+IF(NOT(QUOTE_Split_SoftwareHardware),MAX($B$23:$B$53),0),"")</f>
        <v/>
      </c>
      <c r="V28" s="87" t="str">
        <f>IF(NOT(QUOTE_Split_SoftwareHardware),QCalc!Q39,QCalc!AE8)</f>
        <v/>
      </c>
      <c r="W28" s="87" t="str">
        <f t="shared" si="5"/>
        <v/>
      </c>
      <c r="X28" s="734" t="str">
        <f>IF(NOT(QUOTE_Split_SoftwareHardware),QCalc!N39,QCalc!AB8)</f>
        <v/>
      </c>
      <c r="Y28" s="735"/>
      <c r="Z28" s="735"/>
      <c r="AA28" s="735"/>
      <c r="AB28" s="735"/>
      <c r="AC28" s="735"/>
      <c r="AD28" s="735"/>
      <c r="AE28" s="735"/>
      <c r="AF28" s="735"/>
      <c r="AG28" s="735"/>
      <c r="AH28" s="736" t="str">
        <f>IF(NOT(QUOTE_Split_SoftwareHardware),
IF(QUOTE_DetailedPrices,QCalc!P39,QCalc!O39),
IF(QUOTE_DetailedPrices,QCalc!AD8,QCalc!AC8))</f>
        <v/>
      </c>
      <c r="AI28" s="737"/>
      <c r="AJ28" s="270" t="str">
        <f>IF($D28=0,0,IF(NOT(QUOTE_Split_SoftwareHardware),QCalc!R39,QCalc!AF8))</f>
        <v/>
      </c>
      <c r="AK28" s="271" t="str">
        <f>IF($D28=0,0,IF(NOT(QUOTE_Split_SoftwareHardware),QCalc!S39,QCalc!AG8))</f>
        <v/>
      </c>
    </row>
    <row r="29" spans="1:37" ht="11.25" customHeight="1" x14ac:dyDescent="0.2">
      <c r="A29" s="89"/>
      <c r="B29" s="78" t="str">
        <f>IF(AND(C29&gt;0,C29&lt;&gt;"",AND(LEFT(E29,7)&lt;&gt;"   • Wi",LEFT(E29,7)&lt;&gt;"   • XL")),
COUNT($C$23:C29),"")</f>
        <v/>
      </c>
      <c r="C29" s="87" t="str">
        <f>IF(NOT(QUOTE_Split_SoftwareHardware),QCalc!Q9,QCalc!X9)</f>
        <v/>
      </c>
      <c r="D29" s="132" t="str">
        <f t="shared" si="4"/>
        <v/>
      </c>
      <c r="E29" s="734" t="str">
        <f>IF(NOT(QUOTE_Split_SoftwareHardware),QCalc!N9,QCalc!U9)</f>
        <v/>
      </c>
      <c r="F29" s="735"/>
      <c r="G29" s="735"/>
      <c r="H29" s="735"/>
      <c r="I29" s="735"/>
      <c r="J29" s="735"/>
      <c r="K29" s="735"/>
      <c r="L29" s="735"/>
      <c r="M29" s="735"/>
      <c r="N29" s="735"/>
      <c r="O29" s="774" t="str">
        <f>IF(NOT(QUOTE_Split_SoftwareHardware),
IF(QUOTE_DetailedPrices,QCalc!P9,QCalc!O9),
IF(QUOTE_DetailedPrices,QCalc!W9,QCalc!V9))</f>
        <v/>
      </c>
      <c r="P29" s="775"/>
      <c r="Q29" s="270" t="str">
        <f>IF($D29=0,0,IF(NOT(QUOTE_Split_SoftwareHardware),QCalc!R9,QCalc!Y9))</f>
        <v/>
      </c>
      <c r="R29" s="271" t="str">
        <f>IF($D29=0,0,
IF(NOT(QUOTE_Split_SoftwareHardware),QCalc!S9,QCalc!Z9)
)</f>
        <v/>
      </c>
      <c r="T29" s="89"/>
      <c r="U29" s="78" t="str">
        <f>IF(AND(V29&gt;0,V29&lt;&gt;"",AND(LEFT(X29,7)&lt;&gt;"   • Wi",LEFT(X29,7)&lt;&gt;"   • XL")),
COUNT($V$23:V29)
+IF(NOT(QUOTE_Split_SoftwareHardware),MAX($B$23:$B$53),0),"")</f>
        <v/>
      </c>
      <c r="V29" s="87" t="str">
        <f>IF(NOT(QUOTE_Split_SoftwareHardware),QCalc!Q40,QCalc!AE9)</f>
        <v/>
      </c>
      <c r="W29" s="87" t="str">
        <f t="shared" si="5"/>
        <v/>
      </c>
      <c r="X29" s="734" t="str">
        <f>IF(NOT(QUOTE_Split_SoftwareHardware),QCalc!N40,QCalc!AB9)</f>
        <v/>
      </c>
      <c r="Y29" s="735"/>
      <c r="Z29" s="735"/>
      <c r="AA29" s="735"/>
      <c r="AB29" s="735"/>
      <c r="AC29" s="735"/>
      <c r="AD29" s="735"/>
      <c r="AE29" s="735"/>
      <c r="AF29" s="735"/>
      <c r="AG29" s="735"/>
      <c r="AH29" s="736" t="str">
        <f>IF(NOT(QUOTE_Split_SoftwareHardware),
IF(QUOTE_DetailedPrices,QCalc!P40,QCalc!O40),
IF(QUOTE_DetailedPrices,QCalc!AD9,QCalc!AC9))</f>
        <v/>
      </c>
      <c r="AI29" s="737"/>
      <c r="AJ29" s="270" t="str">
        <f>IF($D29=0,0,IF(NOT(QUOTE_Split_SoftwareHardware),QCalc!R40,QCalc!AF9))</f>
        <v/>
      </c>
      <c r="AK29" s="271" t="str">
        <f>IF($D29=0,0,IF(NOT(QUOTE_Split_SoftwareHardware),QCalc!S40,QCalc!AG9))</f>
        <v/>
      </c>
    </row>
    <row r="30" spans="1:37" ht="11" customHeight="1" x14ac:dyDescent="0.2">
      <c r="A30" s="89"/>
      <c r="B30" s="78" t="str">
        <f>IF(AND(C30&gt;0,C30&lt;&gt;"",AND(LEFT(E30,7)&lt;&gt;"   • Wi",LEFT(E30,7)&lt;&gt;"   • XL")),
COUNT($C$23:C30),"")</f>
        <v/>
      </c>
      <c r="C30" s="87" t="str">
        <f>IF(NOT(QUOTE_Split_SoftwareHardware),QCalc!Q10,QCalc!X10)</f>
        <v/>
      </c>
      <c r="D30" s="132" t="str">
        <f t="shared" si="4"/>
        <v/>
      </c>
      <c r="E30" s="734" t="str">
        <f>IF(NOT(QUOTE_Split_SoftwareHardware),QCalc!N10,QCalc!U10)</f>
        <v/>
      </c>
      <c r="F30" s="735"/>
      <c r="G30" s="735"/>
      <c r="H30" s="735"/>
      <c r="I30" s="735"/>
      <c r="J30" s="735"/>
      <c r="K30" s="735"/>
      <c r="L30" s="735"/>
      <c r="M30" s="735"/>
      <c r="N30" s="735"/>
      <c r="O30" s="774" t="str">
        <f>IF(NOT(QUOTE_Split_SoftwareHardware),
IF(QUOTE_DetailedPrices,QCalc!P10,QCalc!O10),
IF(QUOTE_DetailedPrices,QCalc!W10,QCalc!V10))</f>
        <v/>
      </c>
      <c r="P30" s="775"/>
      <c r="Q30" s="270" t="str">
        <f>IF($D30=0,0,IF(NOT(QUOTE_Split_SoftwareHardware),QCalc!R10,QCalc!Y10))</f>
        <v/>
      </c>
      <c r="R30" s="271" t="str">
        <f>IF($D30=0,0,
IF(NOT(QUOTE_Split_SoftwareHardware),QCalc!S10,QCalc!Z10)
)</f>
        <v/>
      </c>
      <c r="T30" s="89"/>
      <c r="U30" s="78" t="str">
        <f>IF(AND(V30&gt;0,V30&lt;&gt;"",AND(LEFT(X30,7)&lt;&gt;"   • Wi",LEFT(X30,7)&lt;&gt;"   • XL")),
COUNT($V$23:V30)
+IF(NOT(QUOTE_Split_SoftwareHardware),MAX($B$23:$B$53),0),"")</f>
        <v/>
      </c>
      <c r="V30" s="87" t="str">
        <f>IF(NOT(QUOTE_Split_SoftwareHardware),QCalc!Q41,QCalc!AE10)</f>
        <v/>
      </c>
      <c r="W30" s="87" t="str">
        <f t="shared" si="5"/>
        <v/>
      </c>
      <c r="X30" s="734" t="str">
        <f>IF(NOT(QUOTE_Split_SoftwareHardware),QCalc!N41,QCalc!AB10)</f>
        <v/>
      </c>
      <c r="Y30" s="735"/>
      <c r="Z30" s="735"/>
      <c r="AA30" s="735"/>
      <c r="AB30" s="735"/>
      <c r="AC30" s="735"/>
      <c r="AD30" s="735"/>
      <c r="AE30" s="735"/>
      <c r="AF30" s="735"/>
      <c r="AG30" s="735"/>
      <c r="AH30" s="736" t="str">
        <f>IF(NOT(QUOTE_Split_SoftwareHardware),
IF(QUOTE_DetailedPrices,QCalc!P41,QCalc!O41),
IF(QUOTE_DetailedPrices,QCalc!AD10,QCalc!AC10))</f>
        <v/>
      </c>
      <c r="AI30" s="737"/>
      <c r="AJ30" s="270" t="str">
        <f>IF($D30=0,0,IF(NOT(QUOTE_Split_SoftwareHardware),QCalc!R41,QCalc!AF10))</f>
        <v/>
      </c>
      <c r="AK30" s="271" t="str">
        <f>IF($D30=0,0,IF(NOT(QUOTE_Split_SoftwareHardware),QCalc!S41,QCalc!AG10))</f>
        <v/>
      </c>
    </row>
    <row r="31" spans="1:37" ht="11" customHeight="1" x14ac:dyDescent="0.2">
      <c r="A31" s="89"/>
      <c r="B31" s="78" t="str">
        <f>IF(AND(C31&gt;0,C31&lt;&gt;"",AND(LEFT(E31,7)&lt;&gt;"   • Wi",LEFT(E31,7)&lt;&gt;"   • XL")),
COUNT($C$23:C31),"")</f>
        <v/>
      </c>
      <c r="C31" s="87" t="str">
        <f>IF(NOT(QUOTE_Split_SoftwareHardware),QCalc!Q11,QCalc!X11)</f>
        <v/>
      </c>
      <c r="D31" s="132" t="str">
        <f t="shared" si="4"/>
        <v/>
      </c>
      <c r="E31" s="734" t="str">
        <f>IF(NOT(QUOTE_Split_SoftwareHardware),QCalc!N11,QCalc!U11)</f>
        <v/>
      </c>
      <c r="F31" s="735"/>
      <c r="G31" s="735"/>
      <c r="H31" s="735"/>
      <c r="I31" s="735"/>
      <c r="J31" s="735"/>
      <c r="K31" s="735"/>
      <c r="L31" s="735"/>
      <c r="M31" s="735"/>
      <c r="N31" s="735"/>
      <c r="O31" s="774" t="str">
        <f>IF(NOT(QUOTE_Split_SoftwareHardware),
IF(QUOTE_DetailedPrices,QCalc!P11,QCalc!O11),
IF(QUOTE_DetailedPrices,QCalc!W11,QCalc!V11))</f>
        <v/>
      </c>
      <c r="P31" s="775"/>
      <c r="Q31" s="270" t="str">
        <f>IF($D31=0,0,IF(NOT(QUOTE_Split_SoftwareHardware),QCalc!R11,QCalc!Y11))</f>
        <v/>
      </c>
      <c r="R31" s="271" t="str">
        <f>IF($D31=0,0,
IF(NOT(QUOTE_Split_SoftwareHardware),QCalc!S11,QCalc!Z11)
)</f>
        <v/>
      </c>
      <c r="T31" s="89"/>
      <c r="U31" s="78" t="str">
        <f>IF(AND(V31&gt;0,V31&lt;&gt;"",AND(LEFT(X31,7)&lt;&gt;"   • Wi",LEFT(X31,7)&lt;&gt;"   • XL")),
COUNT($V$23:V31)
+IF(NOT(QUOTE_Split_SoftwareHardware),MAX($B$23:$B$53),0),"")</f>
        <v/>
      </c>
      <c r="V31" s="87" t="str">
        <f>IF(NOT(QUOTE_Split_SoftwareHardware),QCalc!Q42,QCalc!AE11)</f>
        <v/>
      </c>
      <c r="W31" s="87" t="str">
        <f t="shared" si="5"/>
        <v/>
      </c>
      <c r="X31" s="734" t="str">
        <f>IF(NOT(QUOTE_Split_SoftwareHardware),QCalc!N42,QCalc!AB11)</f>
        <v/>
      </c>
      <c r="Y31" s="735"/>
      <c r="Z31" s="735"/>
      <c r="AA31" s="735"/>
      <c r="AB31" s="735"/>
      <c r="AC31" s="735"/>
      <c r="AD31" s="735"/>
      <c r="AE31" s="735"/>
      <c r="AF31" s="735"/>
      <c r="AG31" s="735"/>
      <c r="AH31" s="736" t="str">
        <f>IF(NOT(QUOTE_Split_SoftwareHardware),
IF(QUOTE_DetailedPrices,QCalc!P42,QCalc!O42),
IF(QUOTE_DetailedPrices,QCalc!AD11,QCalc!AC11))</f>
        <v/>
      </c>
      <c r="AI31" s="737"/>
      <c r="AJ31" s="270" t="str">
        <f>IF($D31=0,0,IF(NOT(QUOTE_Split_SoftwareHardware),QCalc!R42,QCalc!AF11))</f>
        <v/>
      </c>
      <c r="AK31" s="271" t="str">
        <f>IF($D31=0,0,IF(NOT(QUOTE_Split_SoftwareHardware),QCalc!S42,QCalc!AG11))</f>
        <v/>
      </c>
    </row>
    <row r="32" spans="1:37" ht="11" customHeight="1" x14ac:dyDescent="0.2">
      <c r="A32" s="89"/>
      <c r="B32" s="78" t="str">
        <f>IF(AND(C32&gt;0,C32&lt;&gt;"",AND(LEFT(E32,7)&lt;&gt;"   • Wi",LEFT(E32,7)&lt;&gt;"   • XL")),
COUNT($C$23:C32),"")</f>
        <v/>
      </c>
      <c r="C32" s="87" t="str">
        <f>IF(NOT(QUOTE_Split_SoftwareHardware),QCalc!Q12,QCalc!X12)</f>
        <v/>
      </c>
      <c r="D32" s="132" t="str">
        <f t="shared" si="4"/>
        <v/>
      </c>
      <c r="E32" s="734" t="str">
        <f>IF(NOT(QUOTE_Split_SoftwareHardware),QCalc!N12,QCalc!U12)</f>
        <v/>
      </c>
      <c r="F32" s="735"/>
      <c r="G32" s="735"/>
      <c r="H32" s="735"/>
      <c r="I32" s="735"/>
      <c r="J32" s="735"/>
      <c r="K32" s="735"/>
      <c r="L32" s="735"/>
      <c r="M32" s="735"/>
      <c r="N32" s="735"/>
      <c r="O32" s="774" t="str">
        <f>IF(NOT(QUOTE_Split_SoftwareHardware),
IF(QUOTE_DetailedPrices,QCalc!P12,QCalc!O12),
IF(QUOTE_DetailedPrices,QCalc!W12,QCalc!V12))</f>
        <v/>
      </c>
      <c r="P32" s="775"/>
      <c r="Q32" s="270" t="str">
        <f>IF($D32=0,0,IF(NOT(QUOTE_Split_SoftwareHardware),QCalc!R12,QCalc!Y12))</f>
        <v/>
      </c>
      <c r="R32" s="271" t="str">
        <f>IF($D32=0,0,
IF(NOT(QUOTE_Split_SoftwareHardware),QCalc!S12,QCalc!Z12)
)</f>
        <v/>
      </c>
      <c r="T32" s="89"/>
      <c r="U32" s="78" t="str">
        <f>IF(AND(V32&gt;0,V32&lt;&gt;"",AND(LEFT(X32,7)&lt;&gt;"   • Wi",LEFT(X32,7)&lt;&gt;"   • XL")),
COUNT($V$23:V32)
+IF(NOT(QUOTE_Split_SoftwareHardware),MAX($B$23:$B$53),0),"")</f>
        <v/>
      </c>
      <c r="V32" s="87" t="str">
        <f>IF(NOT(QUOTE_Split_SoftwareHardware),QCalc!Q43,QCalc!AE12)</f>
        <v/>
      </c>
      <c r="W32" s="87" t="str">
        <f t="shared" si="5"/>
        <v/>
      </c>
      <c r="X32" s="734" t="str">
        <f>IF(NOT(QUOTE_Split_SoftwareHardware),QCalc!N43,QCalc!AB12)</f>
        <v/>
      </c>
      <c r="Y32" s="735"/>
      <c r="Z32" s="735"/>
      <c r="AA32" s="735"/>
      <c r="AB32" s="735"/>
      <c r="AC32" s="735"/>
      <c r="AD32" s="735"/>
      <c r="AE32" s="735"/>
      <c r="AF32" s="735"/>
      <c r="AG32" s="735"/>
      <c r="AH32" s="736" t="str">
        <f>IF(NOT(QUOTE_Split_SoftwareHardware),
IF(QUOTE_DetailedPrices,QCalc!P43,QCalc!O43),
IF(QUOTE_DetailedPrices,QCalc!AD12,QCalc!AC12))</f>
        <v/>
      </c>
      <c r="AI32" s="737"/>
      <c r="AJ32" s="270" t="str">
        <f>IF($D32=0,0,IF(NOT(QUOTE_Split_SoftwareHardware),QCalc!R43,QCalc!AF12))</f>
        <v/>
      </c>
      <c r="AK32" s="271" t="str">
        <f>IF($D32=0,0,IF(NOT(QUOTE_Split_SoftwareHardware),QCalc!S43,QCalc!AG12))</f>
        <v/>
      </c>
    </row>
    <row r="33" spans="1:37" ht="11" customHeight="1" x14ac:dyDescent="0.2">
      <c r="A33" s="89"/>
      <c r="B33" s="78" t="str">
        <f>IF(AND(C33&gt;0,C33&lt;&gt;"",AND(LEFT(E33,7)&lt;&gt;"   • Wi",LEFT(E33,7)&lt;&gt;"   • XL")),
COUNT($C$23:C33),"")</f>
        <v/>
      </c>
      <c r="C33" s="87" t="str">
        <f>IF(NOT(QUOTE_Split_SoftwareHardware),QCalc!Q13,QCalc!X13)</f>
        <v/>
      </c>
      <c r="D33" s="132" t="str">
        <f t="shared" si="4"/>
        <v/>
      </c>
      <c r="E33" s="734" t="str">
        <f>IF(NOT(QUOTE_Split_SoftwareHardware),QCalc!N13,QCalc!U13)</f>
        <v/>
      </c>
      <c r="F33" s="735"/>
      <c r="G33" s="735"/>
      <c r="H33" s="735"/>
      <c r="I33" s="735"/>
      <c r="J33" s="735"/>
      <c r="K33" s="735"/>
      <c r="L33" s="735"/>
      <c r="M33" s="735"/>
      <c r="N33" s="735"/>
      <c r="O33" s="774" t="str">
        <f>IF(NOT(QUOTE_Split_SoftwareHardware),
IF(QUOTE_DetailedPrices,QCalc!P13,QCalc!O13),
IF(QUOTE_DetailedPrices,QCalc!W13,QCalc!V13))</f>
        <v/>
      </c>
      <c r="P33" s="775"/>
      <c r="Q33" s="270" t="str">
        <f>IF($D33=0,0,IF(NOT(QUOTE_Split_SoftwareHardware),QCalc!R13,QCalc!Y13))</f>
        <v/>
      </c>
      <c r="R33" s="271" t="str">
        <f>IF($D33=0,0,
IF(NOT(QUOTE_Split_SoftwareHardware),QCalc!S13,QCalc!Z13)
)</f>
        <v/>
      </c>
      <c r="T33" s="89"/>
      <c r="U33" s="78" t="str">
        <f>IF(AND(V33&gt;0,V33&lt;&gt;"",AND(LEFT(X33,7)&lt;&gt;"   • Wi",LEFT(X33,7)&lt;&gt;"   • XL")),
COUNT($V$23:V33)
+IF(NOT(QUOTE_Split_SoftwareHardware),MAX($B$23:$B$53),0),"")</f>
        <v/>
      </c>
      <c r="V33" s="87" t="str">
        <f>IF(NOT(QUOTE_Split_SoftwareHardware),QCalc!Q44,QCalc!AE13)</f>
        <v/>
      </c>
      <c r="W33" s="87" t="str">
        <f t="shared" si="5"/>
        <v/>
      </c>
      <c r="X33" s="734" t="str">
        <f>IF(NOT(QUOTE_Split_SoftwareHardware),QCalc!N44,QCalc!AB13)</f>
        <v/>
      </c>
      <c r="Y33" s="735"/>
      <c r="Z33" s="735"/>
      <c r="AA33" s="735"/>
      <c r="AB33" s="735"/>
      <c r="AC33" s="735"/>
      <c r="AD33" s="735"/>
      <c r="AE33" s="735"/>
      <c r="AF33" s="735"/>
      <c r="AG33" s="735"/>
      <c r="AH33" s="736" t="str">
        <f>IF(NOT(QUOTE_Split_SoftwareHardware),
IF(QUOTE_DetailedPrices,QCalc!P44,QCalc!O44),
IF(QUOTE_DetailedPrices,QCalc!AD13,QCalc!AC13))</f>
        <v/>
      </c>
      <c r="AI33" s="737"/>
      <c r="AJ33" s="270" t="str">
        <f>IF($D33=0,0,IF(NOT(QUOTE_Split_SoftwareHardware),QCalc!R44,QCalc!AF13))</f>
        <v/>
      </c>
      <c r="AK33" s="271" t="str">
        <f>IF($D33=0,0,IF(NOT(QUOTE_Split_SoftwareHardware),QCalc!S44,QCalc!AG13))</f>
        <v/>
      </c>
    </row>
    <row r="34" spans="1:37" ht="11" customHeight="1" x14ac:dyDescent="0.2">
      <c r="A34" s="89"/>
      <c r="B34" s="78" t="str">
        <f>IF(AND(C34&gt;0,C34&lt;&gt;"",AND(LEFT(E34,7)&lt;&gt;"   • Wi",LEFT(E34,7)&lt;&gt;"   • XL")),
COUNT($C$23:C34),"")</f>
        <v/>
      </c>
      <c r="C34" s="87" t="str">
        <f>IF(NOT(QUOTE_Split_SoftwareHardware),QCalc!Q14,QCalc!X14)</f>
        <v/>
      </c>
      <c r="D34" s="132" t="str">
        <f t="shared" si="4"/>
        <v/>
      </c>
      <c r="E34" s="734" t="str">
        <f>IF(NOT(QUOTE_Split_SoftwareHardware),QCalc!N14,QCalc!U14)</f>
        <v/>
      </c>
      <c r="F34" s="735"/>
      <c r="G34" s="735"/>
      <c r="H34" s="735"/>
      <c r="I34" s="735"/>
      <c r="J34" s="735"/>
      <c r="K34" s="735"/>
      <c r="L34" s="735"/>
      <c r="M34" s="735"/>
      <c r="N34" s="735"/>
      <c r="O34" s="774" t="str">
        <f>IF(NOT(QUOTE_Split_SoftwareHardware),
IF(QUOTE_DetailedPrices,QCalc!P14,QCalc!O14),
IF(QUOTE_DetailedPrices,QCalc!W14,QCalc!V14))</f>
        <v/>
      </c>
      <c r="P34" s="775"/>
      <c r="Q34" s="270" t="str">
        <f>IF($D34=0,0,IF(NOT(QUOTE_Split_SoftwareHardware),QCalc!R14,QCalc!Y14))</f>
        <v/>
      </c>
      <c r="R34" s="271" t="str">
        <f>IF($D34=0,0,
IF(NOT(QUOTE_Split_SoftwareHardware),QCalc!S14,QCalc!Z14)
)</f>
        <v/>
      </c>
      <c r="T34" s="89"/>
      <c r="U34" s="78" t="str">
        <f>IF(AND(V34&gt;0,V34&lt;&gt;"",AND(LEFT(X34,7)&lt;&gt;"   • Wi",LEFT(X34,7)&lt;&gt;"   • XL")),
COUNT($V$23:V34)
+IF(NOT(QUOTE_Split_SoftwareHardware),MAX($B$23:$B$53),0),"")</f>
        <v/>
      </c>
      <c r="V34" s="87" t="str">
        <f>IF(NOT(QUOTE_Split_SoftwareHardware),QCalc!Q45,QCalc!AE14)</f>
        <v/>
      </c>
      <c r="W34" s="87" t="str">
        <f t="shared" si="5"/>
        <v/>
      </c>
      <c r="X34" s="734" t="str">
        <f>IF(NOT(QUOTE_Split_SoftwareHardware),QCalc!N45,QCalc!AB14)</f>
        <v/>
      </c>
      <c r="Y34" s="735"/>
      <c r="Z34" s="735"/>
      <c r="AA34" s="735"/>
      <c r="AB34" s="735"/>
      <c r="AC34" s="735"/>
      <c r="AD34" s="735"/>
      <c r="AE34" s="735"/>
      <c r="AF34" s="735"/>
      <c r="AG34" s="735"/>
      <c r="AH34" s="736" t="str">
        <f>IF(NOT(QUOTE_Split_SoftwareHardware),
IF(QUOTE_DetailedPrices,QCalc!P45,QCalc!O45),
IF(QUOTE_DetailedPrices,QCalc!AD14,QCalc!AC14))</f>
        <v/>
      </c>
      <c r="AI34" s="737"/>
      <c r="AJ34" s="270" t="str">
        <f>IF($D34=0,0,IF(NOT(QUOTE_Split_SoftwareHardware),QCalc!R45,QCalc!AF14))</f>
        <v/>
      </c>
      <c r="AK34" s="271" t="str">
        <f>IF($D34=0,0,IF(NOT(QUOTE_Split_SoftwareHardware),QCalc!S45,QCalc!AG14))</f>
        <v/>
      </c>
    </row>
    <row r="35" spans="1:37" ht="11" customHeight="1" x14ac:dyDescent="0.2">
      <c r="A35" s="89"/>
      <c r="B35" s="78" t="str">
        <f>IF(AND(C35&gt;0,C35&lt;&gt;"",AND(LEFT(E35,7)&lt;&gt;"   • Wi",LEFT(E35,7)&lt;&gt;"   • XL")),
COUNT($C$23:C35),"")</f>
        <v/>
      </c>
      <c r="C35" s="87" t="str">
        <f>IF(NOT(QUOTE_Split_SoftwareHardware),QCalc!Q15,QCalc!X15)</f>
        <v/>
      </c>
      <c r="D35" s="132" t="str">
        <f t="shared" si="4"/>
        <v/>
      </c>
      <c r="E35" s="734" t="str">
        <f>IF(NOT(QUOTE_Split_SoftwareHardware),QCalc!N15,QCalc!U15)</f>
        <v/>
      </c>
      <c r="F35" s="735"/>
      <c r="G35" s="735"/>
      <c r="H35" s="735"/>
      <c r="I35" s="735"/>
      <c r="J35" s="735"/>
      <c r="K35" s="735"/>
      <c r="L35" s="735"/>
      <c r="M35" s="735"/>
      <c r="N35" s="735"/>
      <c r="O35" s="774" t="str">
        <f>IF(NOT(QUOTE_Split_SoftwareHardware),
IF(QUOTE_DetailedPrices,QCalc!P15,QCalc!O15),
IF(QUOTE_DetailedPrices,QCalc!W15,QCalc!V15))</f>
        <v/>
      </c>
      <c r="P35" s="775"/>
      <c r="Q35" s="270" t="str">
        <f>IF($D35=0,0,IF(NOT(QUOTE_Split_SoftwareHardware),QCalc!R15,QCalc!Y15))</f>
        <v/>
      </c>
      <c r="R35" s="271" t="str">
        <f>IF($D35=0,0,
IF(NOT(QUOTE_Split_SoftwareHardware),QCalc!S15,QCalc!Z15)
)</f>
        <v/>
      </c>
      <c r="T35" s="89"/>
      <c r="U35" s="78" t="str">
        <f>IF(AND(V35&gt;0,V35&lt;&gt;"",AND(LEFT(X35,7)&lt;&gt;"   • Wi",LEFT(X35,7)&lt;&gt;"   • XL")),
COUNT($V$23:V35)
+IF(NOT(QUOTE_Split_SoftwareHardware),MAX($B$23:$B$53),0),"")</f>
        <v/>
      </c>
      <c r="V35" s="87" t="str">
        <f>IF(NOT(QUOTE_Split_SoftwareHardware),QCalc!Q46,QCalc!AE15)</f>
        <v/>
      </c>
      <c r="W35" s="87" t="str">
        <f t="shared" si="5"/>
        <v/>
      </c>
      <c r="X35" s="734" t="str">
        <f>IF(NOT(QUOTE_Split_SoftwareHardware),QCalc!N46,QCalc!AB15)</f>
        <v/>
      </c>
      <c r="Y35" s="735"/>
      <c r="Z35" s="735"/>
      <c r="AA35" s="735"/>
      <c r="AB35" s="735"/>
      <c r="AC35" s="735"/>
      <c r="AD35" s="735"/>
      <c r="AE35" s="735"/>
      <c r="AF35" s="735"/>
      <c r="AG35" s="735"/>
      <c r="AH35" s="736" t="str">
        <f>IF(NOT(QUOTE_Split_SoftwareHardware),
IF(QUOTE_DetailedPrices,QCalc!P46,QCalc!O46),
IF(QUOTE_DetailedPrices,QCalc!AD15,QCalc!AC15))</f>
        <v/>
      </c>
      <c r="AI35" s="737"/>
      <c r="AJ35" s="270" t="str">
        <f>IF($D35=0,0,IF(NOT(QUOTE_Split_SoftwareHardware),QCalc!R46,QCalc!AF15))</f>
        <v/>
      </c>
      <c r="AK35" s="271" t="str">
        <f>IF($D35=0,0,IF(NOT(QUOTE_Split_SoftwareHardware),QCalc!S46,QCalc!AG15))</f>
        <v/>
      </c>
    </row>
    <row r="36" spans="1:37" ht="11" customHeight="1" x14ac:dyDescent="0.2">
      <c r="A36" s="89"/>
      <c r="B36" s="78" t="str">
        <f>IF(AND(C36&gt;0,C36&lt;&gt;"",AND(LEFT(E36,7)&lt;&gt;"   • Wi",LEFT(E36,7)&lt;&gt;"   • XL")),
COUNT($C$23:C36),"")</f>
        <v/>
      </c>
      <c r="C36" s="87" t="str">
        <f>IF(NOT(QUOTE_Split_SoftwareHardware),QCalc!Q16,QCalc!X16)</f>
        <v/>
      </c>
      <c r="D36" s="132" t="str">
        <f t="shared" si="4"/>
        <v/>
      </c>
      <c r="E36" s="734" t="str">
        <f>IF(NOT(QUOTE_Split_SoftwareHardware),QCalc!N16,QCalc!U16)</f>
        <v/>
      </c>
      <c r="F36" s="735"/>
      <c r="G36" s="735"/>
      <c r="H36" s="735"/>
      <c r="I36" s="735"/>
      <c r="J36" s="735"/>
      <c r="K36" s="735"/>
      <c r="L36" s="735"/>
      <c r="M36" s="735"/>
      <c r="N36" s="735"/>
      <c r="O36" s="774" t="str">
        <f>IF(NOT(QUOTE_Split_SoftwareHardware),
IF(QUOTE_DetailedPrices,QCalc!P16,QCalc!O16),
IF(QUOTE_DetailedPrices,QCalc!W16,QCalc!V16))</f>
        <v/>
      </c>
      <c r="P36" s="775"/>
      <c r="Q36" s="270" t="str">
        <f>IF($D36=0,0,IF(NOT(QUOTE_Split_SoftwareHardware),QCalc!R16,QCalc!Y16))</f>
        <v/>
      </c>
      <c r="R36" s="271" t="str">
        <f>IF($D36=0,0,
IF(NOT(QUOTE_Split_SoftwareHardware),QCalc!S16,QCalc!Z16)
)</f>
        <v/>
      </c>
      <c r="T36" s="89"/>
      <c r="U36" s="78" t="str">
        <f>IF(AND(V36&gt;0,V36&lt;&gt;"",AND(LEFT(X36,7)&lt;&gt;"   • Wi",LEFT(X36,7)&lt;&gt;"   • XL")),
COUNT($V$23:V36)
+IF(NOT(QUOTE_Split_SoftwareHardware),MAX($B$23:$B$53),0),"")</f>
        <v/>
      </c>
      <c r="V36" s="87" t="str">
        <f>IF(NOT(QUOTE_Split_SoftwareHardware),QCalc!Q47,QCalc!AE16)</f>
        <v/>
      </c>
      <c r="W36" s="87" t="str">
        <f t="shared" si="5"/>
        <v/>
      </c>
      <c r="X36" s="734" t="str">
        <f>IF(NOT(QUOTE_Split_SoftwareHardware),QCalc!N47,QCalc!AB16)</f>
        <v/>
      </c>
      <c r="Y36" s="735"/>
      <c r="Z36" s="735"/>
      <c r="AA36" s="735"/>
      <c r="AB36" s="735"/>
      <c r="AC36" s="735"/>
      <c r="AD36" s="735"/>
      <c r="AE36" s="735"/>
      <c r="AF36" s="735"/>
      <c r="AG36" s="735"/>
      <c r="AH36" s="736" t="str">
        <f>IF(NOT(QUOTE_Split_SoftwareHardware),
IF(QUOTE_DetailedPrices,QCalc!P47,QCalc!O47),
IF(QUOTE_DetailedPrices,QCalc!AD16,QCalc!AC16))</f>
        <v/>
      </c>
      <c r="AI36" s="737"/>
      <c r="AJ36" s="270" t="str">
        <f>IF($D36=0,0,IF(NOT(QUOTE_Split_SoftwareHardware),QCalc!R47,QCalc!AF16))</f>
        <v/>
      </c>
      <c r="AK36" s="271" t="str">
        <f>IF($D36=0,0,IF(NOT(QUOTE_Split_SoftwareHardware),QCalc!S47,QCalc!AG16))</f>
        <v/>
      </c>
    </row>
    <row r="37" spans="1:37" ht="11" customHeight="1" x14ac:dyDescent="0.2">
      <c r="A37" s="89"/>
      <c r="B37" s="78" t="str">
        <f>IF(AND(C37&gt;0,C37&lt;&gt;"",AND(LEFT(E37,7)&lt;&gt;"   • Wi",LEFT(E37,7)&lt;&gt;"   • XL")),
COUNT($C$23:C37),"")</f>
        <v/>
      </c>
      <c r="C37" s="87" t="str">
        <f>IF(NOT(QUOTE_Split_SoftwareHardware),QCalc!Q17,QCalc!X17)</f>
        <v/>
      </c>
      <c r="D37" s="132" t="str">
        <f t="shared" si="4"/>
        <v/>
      </c>
      <c r="E37" s="734" t="str">
        <f>IF(NOT(QUOTE_Split_SoftwareHardware),QCalc!N17,QCalc!U17)</f>
        <v/>
      </c>
      <c r="F37" s="735"/>
      <c r="G37" s="735"/>
      <c r="H37" s="735"/>
      <c r="I37" s="735"/>
      <c r="J37" s="735"/>
      <c r="K37" s="735"/>
      <c r="L37" s="735"/>
      <c r="M37" s="735"/>
      <c r="N37" s="735"/>
      <c r="O37" s="774" t="str">
        <f>IF(NOT(QUOTE_Split_SoftwareHardware),
IF(QUOTE_DetailedPrices,QCalc!P17,QCalc!O17),
IF(QUOTE_DetailedPrices,QCalc!W17,QCalc!V17))</f>
        <v/>
      </c>
      <c r="P37" s="775"/>
      <c r="Q37" s="270" t="str">
        <f>IF($D37=0,0,IF(NOT(QUOTE_Split_SoftwareHardware),QCalc!R17,QCalc!Y17))</f>
        <v/>
      </c>
      <c r="R37" s="271" t="str">
        <f>IF($D37=0,0,
IF(NOT(QUOTE_Split_SoftwareHardware),QCalc!S17,QCalc!Z17)
)</f>
        <v/>
      </c>
      <c r="T37" s="89"/>
      <c r="U37" s="78" t="str">
        <f>IF(AND(V37&gt;0,V37&lt;&gt;"",AND(LEFT(X37,7)&lt;&gt;"   • Wi",LEFT(X37,7)&lt;&gt;"   • XL")),
COUNT($V$23:V37)
+IF(NOT(QUOTE_Split_SoftwareHardware),MAX($B$23:$B$53),0),"")</f>
        <v/>
      </c>
      <c r="V37" s="87" t="str">
        <f>IF(NOT(QUOTE_Split_SoftwareHardware),QCalc!Q48,QCalc!AE17)</f>
        <v/>
      </c>
      <c r="W37" s="87" t="str">
        <f t="shared" si="5"/>
        <v/>
      </c>
      <c r="X37" s="734" t="str">
        <f>IF(NOT(QUOTE_Split_SoftwareHardware),QCalc!N48,QCalc!AB17)</f>
        <v/>
      </c>
      <c r="Y37" s="735"/>
      <c r="Z37" s="735"/>
      <c r="AA37" s="735"/>
      <c r="AB37" s="735"/>
      <c r="AC37" s="735"/>
      <c r="AD37" s="735"/>
      <c r="AE37" s="735"/>
      <c r="AF37" s="735"/>
      <c r="AG37" s="735"/>
      <c r="AH37" s="736" t="str">
        <f>IF(NOT(QUOTE_Split_SoftwareHardware),
IF(QUOTE_DetailedPrices,QCalc!P48,QCalc!O48),
IF(QUOTE_DetailedPrices,QCalc!AD17,QCalc!AC17))</f>
        <v/>
      </c>
      <c r="AI37" s="737"/>
      <c r="AJ37" s="270" t="str">
        <f>IF($D37=0,0,IF(NOT(QUOTE_Split_SoftwareHardware),QCalc!R48,QCalc!AF17))</f>
        <v/>
      </c>
      <c r="AK37" s="271" t="str">
        <f>IF($D37=0,0,IF(NOT(QUOTE_Split_SoftwareHardware),QCalc!S48,QCalc!AG17))</f>
        <v/>
      </c>
    </row>
    <row r="38" spans="1:37" ht="11" customHeight="1" x14ac:dyDescent="0.2">
      <c r="A38" s="89"/>
      <c r="B38" s="78" t="str">
        <f>IF(AND(C38&gt;0,C38&lt;&gt;"",AND(LEFT(E38,7)&lt;&gt;"   • Wi",LEFT(E38,7)&lt;&gt;"   • XL")),
COUNT($C$23:C38),"")</f>
        <v/>
      </c>
      <c r="C38" s="87" t="str">
        <f>IF(NOT(QUOTE_Split_SoftwareHardware),QCalc!Q18,QCalc!X18)</f>
        <v/>
      </c>
      <c r="D38" s="132" t="str">
        <f t="shared" si="4"/>
        <v/>
      </c>
      <c r="E38" s="734" t="str">
        <f>IF(NOT(QUOTE_Split_SoftwareHardware),QCalc!N18,QCalc!U18)</f>
        <v/>
      </c>
      <c r="F38" s="735"/>
      <c r="G38" s="735"/>
      <c r="H38" s="735"/>
      <c r="I38" s="735"/>
      <c r="J38" s="735"/>
      <c r="K38" s="735"/>
      <c r="L38" s="735"/>
      <c r="M38" s="735"/>
      <c r="N38" s="735"/>
      <c r="O38" s="774" t="str">
        <f>IF(NOT(QUOTE_Split_SoftwareHardware),
IF(QUOTE_DetailedPrices,QCalc!P18,QCalc!O18),
IF(QUOTE_DetailedPrices,QCalc!W18,QCalc!V18))</f>
        <v/>
      </c>
      <c r="P38" s="775"/>
      <c r="Q38" s="270" t="str">
        <f>IF($D38=0,0,IF(NOT(QUOTE_Split_SoftwareHardware),QCalc!R18,QCalc!Y18))</f>
        <v/>
      </c>
      <c r="R38" s="271" t="str">
        <f>IF($D38=0,0,
IF(NOT(QUOTE_Split_SoftwareHardware),QCalc!S18,QCalc!Z18)
)</f>
        <v/>
      </c>
      <c r="T38" s="89"/>
      <c r="U38" s="78" t="str">
        <f>IF(AND(V38&gt;0,V38&lt;&gt;"",AND(LEFT(X38,7)&lt;&gt;"   • Wi",LEFT(X38,7)&lt;&gt;"   • XL")),
COUNT($V$23:V38)
+IF(NOT(QUOTE_Split_SoftwareHardware),MAX($B$23:$B$53),0),"")</f>
        <v/>
      </c>
      <c r="V38" s="87" t="str">
        <f>IF(NOT(QUOTE_Split_SoftwareHardware),QCalc!Q49,QCalc!AE18)</f>
        <v/>
      </c>
      <c r="W38" s="87" t="str">
        <f t="shared" si="5"/>
        <v/>
      </c>
      <c r="X38" s="734" t="str">
        <f>IF(NOT(QUOTE_Split_SoftwareHardware),QCalc!N49,QCalc!AB18)</f>
        <v/>
      </c>
      <c r="Y38" s="735"/>
      <c r="Z38" s="735"/>
      <c r="AA38" s="735"/>
      <c r="AB38" s="735"/>
      <c r="AC38" s="735"/>
      <c r="AD38" s="735"/>
      <c r="AE38" s="735"/>
      <c r="AF38" s="735"/>
      <c r="AG38" s="735"/>
      <c r="AH38" s="736" t="str">
        <f>IF(NOT(QUOTE_Split_SoftwareHardware),
IF(QUOTE_DetailedPrices,QCalc!P49,QCalc!O49),
IF(QUOTE_DetailedPrices,QCalc!AD18,QCalc!AC18))</f>
        <v/>
      </c>
      <c r="AI38" s="737"/>
      <c r="AJ38" s="270" t="str">
        <f>IF($D38=0,0,IF(NOT(QUOTE_Split_SoftwareHardware),QCalc!R49,QCalc!AF18))</f>
        <v/>
      </c>
      <c r="AK38" s="271" t="str">
        <f>IF($D38=0,0,IF(NOT(QUOTE_Split_SoftwareHardware),QCalc!S49,QCalc!AG18))</f>
        <v/>
      </c>
    </row>
    <row r="39" spans="1:37" ht="11" customHeight="1" x14ac:dyDescent="0.2">
      <c r="A39" s="89"/>
      <c r="B39" s="78" t="str">
        <f>IF(AND(C39&gt;0,C39&lt;&gt;"",AND(LEFT(E39,7)&lt;&gt;"   • Wi",LEFT(E39,7)&lt;&gt;"   • XL")),
COUNT($C$23:C39),"")</f>
        <v/>
      </c>
      <c r="C39" s="87" t="str">
        <f>IF(NOT(QUOTE_Split_SoftwareHardware),QCalc!Q19,QCalc!X19)</f>
        <v/>
      </c>
      <c r="D39" s="132" t="str">
        <f t="shared" si="4"/>
        <v/>
      </c>
      <c r="E39" s="734" t="str">
        <f>IF(NOT(QUOTE_Split_SoftwareHardware),QCalc!N19,QCalc!U19)</f>
        <v/>
      </c>
      <c r="F39" s="735"/>
      <c r="G39" s="735"/>
      <c r="H39" s="735"/>
      <c r="I39" s="735"/>
      <c r="J39" s="735"/>
      <c r="K39" s="735"/>
      <c r="L39" s="735"/>
      <c r="M39" s="735"/>
      <c r="N39" s="735"/>
      <c r="O39" s="774" t="str">
        <f>IF(NOT(QUOTE_Split_SoftwareHardware),
IF(QUOTE_DetailedPrices,QCalc!P19,QCalc!O19),
IF(QUOTE_DetailedPrices,QCalc!W19,QCalc!V19))</f>
        <v/>
      </c>
      <c r="P39" s="775"/>
      <c r="Q39" s="270" t="str">
        <f>IF($D39=0,0,IF(NOT(QUOTE_Split_SoftwareHardware),QCalc!R19,QCalc!Y19))</f>
        <v/>
      </c>
      <c r="R39" s="271" t="str">
        <f>IF($D39=0,0,
IF(NOT(QUOTE_Split_SoftwareHardware),QCalc!S19,QCalc!Z19)
)</f>
        <v/>
      </c>
      <c r="T39" s="89"/>
      <c r="U39" s="78" t="str">
        <f>IF(AND(V39&gt;0,V39&lt;&gt;"",AND(LEFT(X39,7)&lt;&gt;"   • Wi",LEFT(X39,7)&lt;&gt;"   • XL")),
COUNT($V$23:V39)
+IF(NOT(QUOTE_Split_SoftwareHardware),MAX($B$23:$B$53),0),"")</f>
        <v/>
      </c>
      <c r="V39" s="87" t="str">
        <f>IF(NOT(QUOTE_Split_SoftwareHardware),QCalc!Q50,QCalc!AE19)</f>
        <v/>
      </c>
      <c r="W39" s="87" t="str">
        <f t="shared" si="5"/>
        <v/>
      </c>
      <c r="X39" s="734" t="str">
        <f>IF(NOT(QUOTE_Split_SoftwareHardware),QCalc!N50,QCalc!AB19)</f>
        <v/>
      </c>
      <c r="Y39" s="735"/>
      <c r="Z39" s="735"/>
      <c r="AA39" s="735"/>
      <c r="AB39" s="735"/>
      <c r="AC39" s="735"/>
      <c r="AD39" s="735"/>
      <c r="AE39" s="735"/>
      <c r="AF39" s="735"/>
      <c r="AG39" s="735"/>
      <c r="AH39" s="736" t="str">
        <f>IF(NOT(QUOTE_Split_SoftwareHardware),
IF(QUOTE_DetailedPrices,QCalc!P50,QCalc!O50),
IF(QUOTE_DetailedPrices,QCalc!AD19,QCalc!AC19))</f>
        <v/>
      </c>
      <c r="AI39" s="737"/>
      <c r="AJ39" s="270" t="str">
        <f>IF($D39=0,0,IF(NOT(QUOTE_Split_SoftwareHardware),QCalc!R50,QCalc!AF19))</f>
        <v/>
      </c>
      <c r="AK39" s="271" t="str">
        <f>IF($D39=0,0,IF(NOT(QUOTE_Split_SoftwareHardware),QCalc!S50,QCalc!AG19))</f>
        <v/>
      </c>
    </row>
    <row r="40" spans="1:37" ht="11" customHeight="1" x14ac:dyDescent="0.2">
      <c r="A40" s="89"/>
      <c r="B40" s="78" t="str">
        <f>IF(AND(C40&gt;0,C40&lt;&gt;"",AND(LEFT(E40,7)&lt;&gt;"   • Wi",LEFT(E40,7)&lt;&gt;"   • XL")),
COUNT($C$23:C40),"")</f>
        <v/>
      </c>
      <c r="C40" s="87" t="str">
        <f>IF(NOT(QUOTE_Split_SoftwareHardware),QCalc!Q20,QCalc!X20)</f>
        <v/>
      </c>
      <c r="D40" s="132" t="str">
        <f t="shared" si="4"/>
        <v/>
      </c>
      <c r="E40" s="734" t="str">
        <f>IF(NOT(QUOTE_Split_SoftwareHardware),QCalc!N20,QCalc!U20)</f>
        <v/>
      </c>
      <c r="F40" s="735"/>
      <c r="G40" s="735"/>
      <c r="H40" s="735"/>
      <c r="I40" s="735"/>
      <c r="J40" s="735"/>
      <c r="K40" s="735"/>
      <c r="L40" s="735"/>
      <c r="M40" s="735"/>
      <c r="N40" s="735"/>
      <c r="O40" s="774" t="str">
        <f>IF(NOT(QUOTE_Split_SoftwareHardware),
IF(QUOTE_DetailedPrices,QCalc!P20,QCalc!O20),
IF(QUOTE_DetailedPrices,QCalc!W20,QCalc!V20))</f>
        <v/>
      </c>
      <c r="P40" s="775"/>
      <c r="Q40" s="270" t="str">
        <f>IF($D40=0,0,IF(NOT(QUOTE_Split_SoftwareHardware),QCalc!R20,QCalc!Y20))</f>
        <v/>
      </c>
      <c r="R40" s="271" t="str">
        <f>IF($D40=0,0,
IF(NOT(QUOTE_Split_SoftwareHardware),QCalc!S20,QCalc!Z20)
)</f>
        <v/>
      </c>
      <c r="T40" s="89"/>
      <c r="U40" s="78" t="str">
        <f>IF(AND(V40&gt;0,V40&lt;&gt;"",AND(LEFT(X40,7)&lt;&gt;"   • Wi",LEFT(X40,7)&lt;&gt;"   • XL")),
COUNT($V$23:V40)
+IF(NOT(QUOTE_Split_SoftwareHardware),MAX($B$23:$B$53),0),"")</f>
        <v/>
      </c>
      <c r="V40" s="87" t="str">
        <f>IF(NOT(QUOTE_Split_SoftwareHardware),QCalc!Q51,QCalc!AE20)</f>
        <v/>
      </c>
      <c r="W40" s="87" t="str">
        <f t="shared" si="5"/>
        <v/>
      </c>
      <c r="X40" s="734" t="str">
        <f>IF(NOT(QUOTE_Split_SoftwareHardware),QCalc!N51,QCalc!AB20)</f>
        <v/>
      </c>
      <c r="Y40" s="735"/>
      <c r="Z40" s="735"/>
      <c r="AA40" s="735"/>
      <c r="AB40" s="735"/>
      <c r="AC40" s="735"/>
      <c r="AD40" s="735"/>
      <c r="AE40" s="735"/>
      <c r="AF40" s="735"/>
      <c r="AG40" s="735"/>
      <c r="AH40" s="736" t="str">
        <f>IF(NOT(QUOTE_Split_SoftwareHardware),
IF(QUOTE_DetailedPrices,QCalc!P51,QCalc!O51),
IF(QUOTE_DetailedPrices,QCalc!AD20,QCalc!AC20))</f>
        <v/>
      </c>
      <c r="AI40" s="737"/>
      <c r="AJ40" s="270" t="str">
        <f>IF($D40=0,0,IF(NOT(QUOTE_Split_SoftwareHardware),QCalc!R51,QCalc!AF20))</f>
        <v/>
      </c>
      <c r="AK40" s="271" t="str">
        <f>IF($D40=0,0,IF(NOT(QUOTE_Split_SoftwareHardware),QCalc!S51,QCalc!AG20))</f>
        <v/>
      </c>
    </row>
    <row r="41" spans="1:37" ht="11" customHeight="1" x14ac:dyDescent="0.2">
      <c r="A41" s="89"/>
      <c r="B41" s="78" t="str">
        <f>IF(AND(C41&gt;0,C41&lt;&gt;"",AND(LEFT(E41,7)&lt;&gt;"   • Wi",LEFT(E41,7)&lt;&gt;"   • XL")),
COUNT($C$23:C41),"")</f>
        <v/>
      </c>
      <c r="C41" s="87" t="str">
        <f>IF(NOT(QUOTE_Split_SoftwareHardware),QCalc!Q21,QCalc!X21)</f>
        <v/>
      </c>
      <c r="D41" s="132" t="str">
        <f t="shared" si="4"/>
        <v/>
      </c>
      <c r="E41" s="734" t="str">
        <f>IF(NOT(QUOTE_Split_SoftwareHardware),QCalc!N21,QCalc!U21)</f>
        <v/>
      </c>
      <c r="F41" s="735"/>
      <c r="G41" s="735"/>
      <c r="H41" s="735"/>
      <c r="I41" s="735"/>
      <c r="J41" s="735"/>
      <c r="K41" s="735"/>
      <c r="L41" s="735"/>
      <c r="M41" s="735"/>
      <c r="N41" s="735"/>
      <c r="O41" s="774" t="str">
        <f>IF(NOT(QUOTE_Split_SoftwareHardware),
IF(QUOTE_DetailedPrices,QCalc!P21,QCalc!O21),
IF(QUOTE_DetailedPrices,QCalc!W21,QCalc!V21))</f>
        <v/>
      </c>
      <c r="P41" s="775"/>
      <c r="Q41" s="270" t="str">
        <f>IF($D41=0,0,IF(NOT(QUOTE_Split_SoftwareHardware),QCalc!R21,QCalc!Y21))</f>
        <v/>
      </c>
      <c r="R41" s="271" t="str">
        <f>IF($D41=0,0,
IF(NOT(QUOTE_Split_SoftwareHardware),QCalc!S21,QCalc!Z21)
)</f>
        <v/>
      </c>
      <c r="T41" s="89"/>
      <c r="U41" s="78" t="str">
        <f>IF(AND(V41&gt;0,V41&lt;&gt;"",AND(LEFT(X41,7)&lt;&gt;"   • Wi",LEFT(X41,7)&lt;&gt;"   • XL")),
COUNT($V$23:V41)
+IF(NOT(QUOTE_Split_SoftwareHardware),MAX($B$23:$B$53),0),"")</f>
        <v/>
      </c>
      <c r="V41" s="87" t="str">
        <f>IF(NOT(QUOTE_Split_SoftwareHardware),QCalc!Q52,QCalc!AE21)</f>
        <v/>
      </c>
      <c r="W41" s="87" t="str">
        <f t="shared" si="5"/>
        <v/>
      </c>
      <c r="X41" s="734" t="str">
        <f>IF(NOT(QUOTE_Split_SoftwareHardware),QCalc!N52,QCalc!AB21)</f>
        <v/>
      </c>
      <c r="Y41" s="735"/>
      <c r="Z41" s="735"/>
      <c r="AA41" s="735"/>
      <c r="AB41" s="735"/>
      <c r="AC41" s="735"/>
      <c r="AD41" s="735"/>
      <c r="AE41" s="735"/>
      <c r="AF41" s="735"/>
      <c r="AG41" s="735"/>
      <c r="AH41" s="736" t="str">
        <f>IF(NOT(QUOTE_Split_SoftwareHardware),
IF(QUOTE_DetailedPrices,QCalc!P52,QCalc!O52),
IF(QUOTE_DetailedPrices,QCalc!AD21,QCalc!AC21))</f>
        <v/>
      </c>
      <c r="AI41" s="737"/>
      <c r="AJ41" s="270" t="str">
        <f>IF($D41=0,0,IF(NOT(QUOTE_Split_SoftwareHardware),QCalc!R52,QCalc!AF21))</f>
        <v/>
      </c>
      <c r="AK41" s="271" t="str">
        <f>IF($D41=0,0,IF(NOT(QUOTE_Split_SoftwareHardware),QCalc!S52,QCalc!AG21))</f>
        <v/>
      </c>
    </row>
    <row r="42" spans="1:37" ht="11" customHeight="1" x14ac:dyDescent="0.2">
      <c r="A42" s="89"/>
      <c r="B42" s="78" t="str">
        <f>IF(AND(C42&gt;0,C42&lt;&gt;"",AND(LEFT(E42,7)&lt;&gt;"   • Wi",LEFT(E42,7)&lt;&gt;"   • XL")),
COUNT($C$23:C42),"")</f>
        <v/>
      </c>
      <c r="C42" s="87" t="str">
        <f>IF(NOT(QUOTE_Split_SoftwareHardware),QCalc!Q22,QCalc!X22)</f>
        <v/>
      </c>
      <c r="D42" s="132" t="str">
        <f t="shared" si="4"/>
        <v/>
      </c>
      <c r="E42" s="734" t="str">
        <f>IF(NOT(QUOTE_Split_SoftwareHardware),QCalc!N22,QCalc!U22)</f>
        <v/>
      </c>
      <c r="F42" s="735"/>
      <c r="G42" s="735"/>
      <c r="H42" s="735"/>
      <c r="I42" s="735"/>
      <c r="J42" s="735"/>
      <c r="K42" s="735"/>
      <c r="L42" s="735"/>
      <c r="M42" s="735"/>
      <c r="N42" s="735"/>
      <c r="O42" s="774" t="str">
        <f>IF(NOT(QUOTE_Split_SoftwareHardware),
IF(QUOTE_DetailedPrices,QCalc!P22,QCalc!O22),
IF(QUOTE_DetailedPrices,QCalc!W22,QCalc!V22))</f>
        <v/>
      </c>
      <c r="P42" s="775"/>
      <c r="Q42" s="270" t="str">
        <f>IF($D42=0,0,IF(NOT(QUOTE_Split_SoftwareHardware),QCalc!R22,QCalc!Y22))</f>
        <v/>
      </c>
      <c r="R42" s="271" t="str">
        <f>IF($D42=0,0,
IF(NOT(QUOTE_Split_SoftwareHardware),QCalc!S22,QCalc!Z22)
)</f>
        <v/>
      </c>
      <c r="T42" s="89"/>
      <c r="U42" s="78" t="str">
        <f>IF(AND(V42&gt;0,V42&lt;&gt;"",AND(LEFT(X42,7)&lt;&gt;"   • Wi",LEFT(X42,7)&lt;&gt;"   • XL")),
COUNT($V$23:V42)
+IF(NOT(QUOTE_Split_SoftwareHardware),MAX($B$23:$B$53),0),"")</f>
        <v/>
      </c>
      <c r="V42" s="87" t="str">
        <f>IF(NOT(QUOTE_Split_SoftwareHardware),QCalc!Q53,QCalc!AE22)</f>
        <v/>
      </c>
      <c r="W42" s="87" t="str">
        <f t="shared" si="5"/>
        <v/>
      </c>
      <c r="X42" s="734" t="str">
        <f>IF(NOT(QUOTE_Split_SoftwareHardware),QCalc!N53,QCalc!AB22)</f>
        <v/>
      </c>
      <c r="Y42" s="735"/>
      <c r="Z42" s="735"/>
      <c r="AA42" s="735"/>
      <c r="AB42" s="735"/>
      <c r="AC42" s="735"/>
      <c r="AD42" s="735"/>
      <c r="AE42" s="735"/>
      <c r="AF42" s="735"/>
      <c r="AG42" s="735"/>
      <c r="AH42" s="736" t="str">
        <f>IF(NOT(QUOTE_Split_SoftwareHardware),
IF(QUOTE_DetailedPrices,QCalc!P53,QCalc!O53),
IF(QUOTE_DetailedPrices,QCalc!AD22,QCalc!AC22))</f>
        <v/>
      </c>
      <c r="AI42" s="737"/>
      <c r="AJ42" s="270" t="str">
        <f>IF($D42=0,0,IF(NOT(QUOTE_Split_SoftwareHardware),QCalc!R53,QCalc!AF22))</f>
        <v/>
      </c>
      <c r="AK42" s="271" t="str">
        <f>IF($D42=0,0,IF(NOT(QUOTE_Split_SoftwareHardware),QCalc!S53,QCalc!AG22))</f>
        <v/>
      </c>
    </row>
    <row r="43" spans="1:37" ht="11" customHeight="1" x14ac:dyDescent="0.2">
      <c r="A43" s="89"/>
      <c r="B43" s="78" t="str">
        <f>IF(AND(C43&gt;0,C43&lt;&gt;"",AND(LEFT(E43,7)&lt;&gt;"   • Wi",LEFT(E43,7)&lt;&gt;"   • XL")),
COUNT($C$23:C43),"")</f>
        <v/>
      </c>
      <c r="C43" s="87" t="str">
        <f>IF(NOT(QUOTE_Split_SoftwareHardware),QCalc!Q23,QCalc!X23)</f>
        <v/>
      </c>
      <c r="D43" s="132" t="str">
        <f t="shared" si="4"/>
        <v/>
      </c>
      <c r="E43" s="734" t="str">
        <f>IF(NOT(QUOTE_Split_SoftwareHardware),QCalc!N23,QCalc!U23)</f>
        <v/>
      </c>
      <c r="F43" s="735"/>
      <c r="G43" s="735"/>
      <c r="H43" s="735"/>
      <c r="I43" s="735"/>
      <c r="J43" s="735"/>
      <c r="K43" s="735"/>
      <c r="L43" s="735"/>
      <c r="M43" s="735"/>
      <c r="N43" s="735"/>
      <c r="O43" s="774" t="str">
        <f>IF(NOT(QUOTE_Split_SoftwareHardware),
IF(QUOTE_DetailedPrices,QCalc!P23,QCalc!O23),
IF(QUOTE_DetailedPrices,QCalc!W23,QCalc!V23))</f>
        <v/>
      </c>
      <c r="P43" s="775"/>
      <c r="Q43" s="270" t="str">
        <f>IF($D43=0,0,IF(NOT(QUOTE_Split_SoftwareHardware),QCalc!R23,QCalc!Y23))</f>
        <v/>
      </c>
      <c r="R43" s="271" t="str">
        <f>IF($D43=0,0,
IF(NOT(QUOTE_Split_SoftwareHardware),QCalc!S23,QCalc!Z23)
)</f>
        <v/>
      </c>
      <c r="T43" s="89"/>
      <c r="U43" s="78" t="str">
        <f>IF(AND(V43&gt;0,V43&lt;&gt;"",AND(LEFT(X43,7)&lt;&gt;"   • Wi",LEFT(X43,7)&lt;&gt;"   • XL")),
COUNT($V$23:V43)
+IF(NOT(QUOTE_Split_SoftwareHardware),MAX($B$23:$B$53),0),"")</f>
        <v/>
      </c>
      <c r="V43" s="87" t="str">
        <f>IF(NOT(QUOTE_Split_SoftwareHardware),QCalc!Q54,QCalc!AE23)</f>
        <v/>
      </c>
      <c r="W43" s="87" t="str">
        <f t="shared" si="5"/>
        <v/>
      </c>
      <c r="X43" s="734" t="str">
        <f>IF(NOT(QUOTE_Split_SoftwareHardware),QCalc!N54,QCalc!AB23)</f>
        <v/>
      </c>
      <c r="Y43" s="735"/>
      <c r="Z43" s="735"/>
      <c r="AA43" s="735"/>
      <c r="AB43" s="735"/>
      <c r="AC43" s="735"/>
      <c r="AD43" s="735"/>
      <c r="AE43" s="735"/>
      <c r="AF43" s="735"/>
      <c r="AG43" s="735"/>
      <c r="AH43" s="736" t="str">
        <f>IF(NOT(QUOTE_Split_SoftwareHardware),
IF(QUOTE_DetailedPrices,QCalc!P54,QCalc!O54),
IF(QUOTE_DetailedPrices,QCalc!AD23,QCalc!AC23))</f>
        <v/>
      </c>
      <c r="AI43" s="737"/>
      <c r="AJ43" s="270" t="str">
        <f>IF($D43=0,0,IF(NOT(QUOTE_Split_SoftwareHardware),QCalc!R54,QCalc!AF23))</f>
        <v/>
      </c>
      <c r="AK43" s="271" t="str">
        <f>IF($D43=0,0,IF(NOT(QUOTE_Split_SoftwareHardware),QCalc!S54,QCalc!AG23))</f>
        <v/>
      </c>
    </row>
    <row r="44" spans="1:37" ht="11" customHeight="1" x14ac:dyDescent="0.2">
      <c r="A44" s="89"/>
      <c r="B44" s="78" t="str">
        <f>IF(AND(C44&gt;0,C44&lt;&gt;"",AND(LEFT(E44,7)&lt;&gt;"   • Wi",LEFT(E44,7)&lt;&gt;"   • XL")),
COUNT($C$23:C44),"")</f>
        <v/>
      </c>
      <c r="C44" s="87" t="str">
        <f>IF(NOT(QUOTE_Split_SoftwareHardware),QCalc!Q24,QCalc!X24)</f>
        <v/>
      </c>
      <c r="D44" s="132" t="str">
        <f t="shared" si="4"/>
        <v/>
      </c>
      <c r="E44" s="734" t="str">
        <f>IF(NOT(QUOTE_Split_SoftwareHardware),QCalc!N24,QCalc!U24)</f>
        <v/>
      </c>
      <c r="F44" s="735"/>
      <c r="G44" s="735"/>
      <c r="H44" s="735"/>
      <c r="I44" s="735"/>
      <c r="J44" s="735"/>
      <c r="K44" s="735"/>
      <c r="L44" s="735"/>
      <c r="M44" s="735"/>
      <c r="N44" s="735"/>
      <c r="O44" s="774" t="str">
        <f>IF(NOT(QUOTE_Split_SoftwareHardware),
IF(QUOTE_DetailedPrices,QCalc!P24,QCalc!O24),
IF(QUOTE_DetailedPrices,QCalc!W24,QCalc!V24))</f>
        <v/>
      </c>
      <c r="P44" s="775"/>
      <c r="Q44" s="270" t="str">
        <f>IF($D44=0,0,IF(NOT(QUOTE_Split_SoftwareHardware),QCalc!R24,QCalc!Y24))</f>
        <v/>
      </c>
      <c r="R44" s="271" t="str">
        <f>IF($D44=0,0,
IF(NOT(QUOTE_Split_SoftwareHardware),QCalc!S24,QCalc!Z24)
)</f>
        <v/>
      </c>
      <c r="T44" s="89"/>
      <c r="U44" s="78" t="str">
        <f>IF(AND(V44&gt;0,V44&lt;&gt;"",AND(LEFT(X44,7)&lt;&gt;"   • Wi",LEFT(X44,7)&lt;&gt;"   • XL")),
COUNT($V$23:V44)
+IF(NOT(QUOTE_Split_SoftwareHardware),MAX($B$23:$B$53),0),"")</f>
        <v/>
      </c>
      <c r="V44" s="87" t="str">
        <f>IF(NOT(QUOTE_Split_SoftwareHardware),QCalc!Q55,QCalc!AE24)</f>
        <v/>
      </c>
      <c r="W44" s="87" t="str">
        <f t="shared" si="5"/>
        <v/>
      </c>
      <c r="X44" s="734" t="str">
        <f>IF(NOT(QUOTE_Split_SoftwareHardware),QCalc!N55,QCalc!AB24)</f>
        <v/>
      </c>
      <c r="Y44" s="735"/>
      <c r="Z44" s="735"/>
      <c r="AA44" s="735"/>
      <c r="AB44" s="735"/>
      <c r="AC44" s="735"/>
      <c r="AD44" s="735"/>
      <c r="AE44" s="735"/>
      <c r="AF44" s="735"/>
      <c r="AG44" s="735"/>
      <c r="AH44" s="736" t="str">
        <f>IF(NOT(QUOTE_Split_SoftwareHardware),
IF(QUOTE_DetailedPrices,QCalc!P55,QCalc!O55),
IF(QUOTE_DetailedPrices,QCalc!AD24,QCalc!AC24))</f>
        <v/>
      </c>
      <c r="AI44" s="737"/>
      <c r="AJ44" s="270" t="str">
        <f>IF($D44=0,0,IF(NOT(QUOTE_Split_SoftwareHardware),QCalc!R55,QCalc!AF24))</f>
        <v/>
      </c>
      <c r="AK44" s="271" t="str">
        <f>IF($D44=0,0,IF(NOT(QUOTE_Split_SoftwareHardware),QCalc!S55,QCalc!AG24))</f>
        <v/>
      </c>
    </row>
    <row r="45" spans="1:37" ht="11" customHeight="1" x14ac:dyDescent="0.2">
      <c r="A45" s="89"/>
      <c r="B45" s="78" t="str">
        <f>IF(AND(C45&gt;0,C45&lt;&gt;"",AND(LEFT(E45,7)&lt;&gt;"   • Wi",LEFT(E45,7)&lt;&gt;"   • XL")),
COUNT($C$23:C45),"")</f>
        <v/>
      </c>
      <c r="C45" s="87" t="str">
        <f>IF(NOT(QUOTE_Split_SoftwareHardware),QCalc!Q25,QCalc!X25)</f>
        <v/>
      </c>
      <c r="D45" s="132" t="str">
        <f t="shared" si="4"/>
        <v/>
      </c>
      <c r="E45" s="734" t="str">
        <f>IF(NOT(QUOTE_Split_SoftwareHardware),QCalc!N25,QCalc!U25)</f>
        <v/>
      </c>
      <c r="F45" s="735"/>
      <c r="G45" s="735"/>
      <c r="H45" s="735"/>
      <c r="I45" s="735"/>
      <c r="J45" s="735"/>
      <c r="K45" s="735"/>
      <c r="L45" s="735"/>
      <c r="M45" s="735"/>
      <c r="N45" s="735"/>
      <c r="O45" s="774" t="str">
        <f>IF(NOT(QUOTE_Split_SoftwareHardware),
IF(QUOTE_DetailedPrices,QCalc!P25,QCalc!O25),
IF(QUOTE_DetailedPrices,QCalc!W25,QCalc!V25))</f>
        <v/>
      </c>
      <c r="P45" s="775"/>
      <c r="Q45" s="270" t="str">
        <f>IF($D45=0,0,IF(NOT(QUOTE_Split_SoftwareHardware),QCalc!R25,QCalc!Y25))</f>
        <v/>
      </c>
      <c r="R45" s="271" t="str">
        <f>IF($D45=0,0,
IF(NOT(QUOTE_Split_SoftwareHardware),QCalc!S25,QCalc!Z25)
)</f>
        <v/>
      </c>
      <c r="T45" s="89"/>
      <c r="U45" s="78" t="str">
        <f>IF(AND(V45&gt;0,V45&lt;&gt;"",AND(LEFT(X45,7)&lt;&gt;"   • Wi",LEFT(X45,7)&lt;&gt;"   • XL")),
COUNT($V$23:V45)
+IF(NOT(QUOTE_Split_SoftwareHardware),MAX($B$23:$B$53),0),"")</f>
        <v/>
      </c>
      <c r="V45" s="87" t="str">
        <f>IF(NOT(QUOTE_Split_SoftwareHardware),QCalc!Q56,QCalc!AE25)</f>
        <v/>
      </c>
      <c r="W45" s="87" t="str">
        <f t="shared" si="5"/>
        <v/>
      </c>
      <c r="X45" s="734" t="str">
        <f>IF(NOT(QUOTE_Split_SoftwareHardware),QCalc!N56,QCalc!AB25)</f>
        <v/>
      </c>
      <c r="Y45" s="735"/>
      <c r="Z45" s="735"/>
      <c r="AA45" s="735"/>
      <c r="AB45" s="735"/>
      <c r="AC45" s="735"/>
      <c r="AD45" s="735"/>
      <c r="AE45" s="735"/>
      <c r="AF45" s="735"/>
      <c r="AG45" s="735"/>
      <c r="AH45" s="736" t="str">
        <f>IF(NOT(QUOTE_Split_SoftwareHardware),
IF(QUOTE_DetailedPrices,QCalc!P56,QCalc!O56),
IF(QUOTE_DetailedPrices,QCalc!AD25,QCalc!AC25))</f>
        <v/>
      </c>
      <c r="AI45" s="737"/>
      <c r="AJ45" s="270" t="str">
        <f>IF($D45=0,0,IF(NOT(QUOTE_Split_SoftwareHardware),QCalc!R56,QCalc!AF25))</f>
        <v/>
      </c>
      <c r="AK45" s="271" t="str">
        <f>IF($D45=0,0,IF(NOT(QUOTE_Split_SoftwareHardware),QCalc!S56,QCalc!AG25))</f>
        <v/>
      </c>
    </row>
    <row r="46" spans="1:37" ht="11" customHeight="1" x14ac:dyDescent="0.2">
      <c r="A46" s="89"/>
      <c r="B46" s="78" t="str">
        <f>IF(AND(C46&gt;0,C46&lt;&gt;"",AND(LEFT(E46,7)&lt;&gt;"   • Wi",LEFT(E46,7)&lt;&gt;"   • XL")),
COUNT($C$23:C46),"")</f>
        <v/>
      </c>
      <c r="C46" s="87" t="str">
        <f>IF(NOT(QUOTE_Split_SoftwareHardware),QCalc!Q26,QCalc!X26)</f>
        <v/>
      </c>
      <c r="D46" s="132" t="str">
        <f t="shared" si="4"/>
        <v/>
      </c>
      <c r="E46" s="734" t="str">
        <f>IF(NOT(QUOTE_Split_SoftwareHardware),QCalc!N26,QCalc!U26)</f>
        <v/>
      </c>
      <c r="F46" s="735"/>
      <c r="G46" s="735"/>
      <c r="H46" s="735"/>
      <c r="I46" s="735"/>
      <c r="J46" s="735"/>
      <c r="K46" s="735"/>
      <c r="L46" s="735"/>
      <c r="M46" s="735"/>
      <c r="N46" s="735"/>
      <c r="O46" s="774" t="str">
        <f>IF(NOT(QUOTE_Split_SoftwareHardware),
IF(QUOTE_DetailedPrices,QCalc!P26,QCalc!O26),
IF(QUOTE_DetailedPrices,QCalc!W26,QCalc!V26))</f>
        <v/>
      </c>
      <c r="P46" s="775"/>
      <c r="Q46" s="270" t="str">
        <f>IF($D46=0,0,IF(NOT(QUOTE_Split_SoftwareHardware),QCalc!R26,QCalc!Y26))</f>
        <v/>
      </c>
      <c r="R46" s="271" t="str">
        <f>IF($D46=0,0,
IF(NOT(QUOTE_Split_SoftwareHardware),QCalc!S26,QCalc!Z26)
)</f>
        <v/>
      </c>
      <c r="T46" s="89"/>
      <c r="U46" s="78" t="str">
        <f>IF(AND(V46&gt;0,V46&lt;&gt;"",AND(LEFT(X46,7)&lt;&gt;"   • Wi",LEFT(X46,7)&lt;&gt;"   • XL")),
COUNT($V$23:V46)
+IF(NOT(QUOTE_Split_SoftwareHardware),MAX($B$23:$B$53),0),"")</f>
        <v/>
      </c>
      <c r="V46" s="87" t="str">
        <f>IF(NOT(QUOTE_Split_SoftwareHardware),QCalc!Q57,QCalc!AE26)</f>
        <v/>
      </c>
      <c r="W46" s="87" t="str">
        <f t="shared" si="5"/>
        <v/>
      </c>
      <c r="X46" s="734" t="str">
        <f>IF(NOT(QUOTE_Split_SoftwareHardware),QCalc!N57,QCalc!AB26)</f>
        <v/>
      </c>
      <c r="Y46" s="735"/>
      <c r="Z46" s="735"/>
      <c r="AA46" s="735"/>
      <c r="AB46" s="735"/>
      <c r="AC46" s="735"/>
      <c r="AD46" s="735"/>
      <c r="AE46" s="735"/>
      <c r="AF46" s="735"/>
      <c r="AG46" s="735"/>
      <c r="AH46" s="736" t="str">
        <f>IF(NOT(QUOTE_Split_SoftwareHardware),
IF(QUOTE_DetailedPrices,QCalc!P57,QCalc!O57),
IF(QUOTE_DetailedPrices,QCalc!AD26,QCalc!AC26))</f>
        <v/>
      </c>
      <c r="AI46" s="737"/>
      <c r="AJ46" s="270" t="str">
        <f>IF($D46=0,0,IF(NOT(QUOTE_Split_SoftwareHardware),QCalc!R57,QCalc!AF26))</f>
        <v/>
      </c>
      <c r="AK46" s="271" t="str">
        <f>IF($D46=0,0,IF(NOT(QUOTE_Split_SoftwareHardware),QCalc!S57,QCalc!AG26))</f>
        <v/>
      </c>
    </row>
    <row r="47" spans="1:37" ht="11" customHeight="1" x14ac:dyDescent="0.2">
      <c r="A47" s="89"/>
      <c r="B47" s="78" t="str">
        <f>IF(AND(C47&gt;0,C47&lt;&gt;"",AND(LEFT(E47,7)&lt;&gt;"   • Wi",LEFT(E47,7)&lt;&gt;"   • XL")),
COUNT($C$23:C47),"")</f>
        <v/>
      </c>
      <c r="C47" s="87" t="str">
        <f>IF(NOT(QUOTE_Split_SoftwareHardware),QCalc!Q27,QCalc!X27)</f>
        <v/>
      </c>
      <c r="D47" s="132" t="str">
        <f t="shared" si="4"/>
        <v/>
      </c>
      <c r="E47" s="734" t="str">
        <f>IF(NOT(QUOTE_Split_SoftwareHardware),QCalc!N27,QCalc!U27)</f>
        <v/>
      </c>
      <c r="F47" s="735"/>
      <c r="G47" s="735"/>
      <c r="H47" s="735"/>
      <c r="I47" s="735"/>
      <c r="J47" s="735"/>
      <c r="K47" s="735"/>
      <c r="L47" s="735"/>
      <c r="M47" s="735"/>
      <c r="N47" s="735"/>
      <c r="O47" s="774" t="str">
        <f>IF(NOT(QUOTE_Split_SoftwareHardware),
IF(QUOTE_DetailedPrices,QCalc!P27,QCalc!O27),
IF(QUOTE_DetailedPrices,QCalc!W27,QCalc!V27))</f>
        <v/>
      </c>
      <c r="P47" s="775"/>
      <c r="Q47" s="270" t="str">
        <f>IF($D47=0,0,IF(NOT(QUOTE_Split_SoftwareHardware),QCalc!R27,QCalc!Y27))</f>
        <v/>
      </c>
      <c r="R47" s="271" t="str">
        <f>IF($D47=0,0,
IF(NOT(QUOTE_Split_SoftwareHardware),QCalc!S27,QCalc!Z27)
)</f>
        <v/>
      </c>
      <c r="T47" s="89"/>
      <c r="U47" s="78" t="str">
        <f>IF(AND(V47&gt;0,V47&lt;&gt;"",AND(LEFT(X47,7)&lt;&gt;"   • Wi",LEFT(X47,7)&lt;&gt;"   • XL")),
COUNT($V$23:V47)
+IF(NOT(QUOTE_Split_SoftwareHardware),MAX($B$23:$B$53),0),"")</f>
        <v/>
      </c>
      <c r="V47" s="87" t="str">
        <f>IF(NOT(QUOTE_Split_SoftwareHardware),QCalc!Q58,QCalc!AE27)</f>
        <v/>
      </c>
      <c r="W47" s="87" t="str">
        <f t="shared" si="5"/>
        <v/>
      </c>
      <c r="X47" s="734" t="str">
        <f>IF(NOT(QUOTE_Split_SoftwareHardware),QCalc!N58,QCalc!AB27)</f>
        <v/>
      </c>
      <c r="Y47" s="735"/>
      <c r="Z47" s="735"/>
      <c r="AA47" s="735"/>
      <c r="AB47" s="735"/>
      <c r="AC47" s="735"/>
      <c r="AD47" s="735"/>
      <c r="AE47" s="735"/>
      <c r="AF47" s="735"/>
      <c r="AG47" s="735"/>
      <c r="AH47" s="736" t="str">
        <f>IF(NOT(QUOTE_Split_SoftwareHardware),
IF(QUOTE_DetailedPrices,QCalc!P58,QCalc!O58),
IF(QUOTE_DetailedPrices,QCalc!AD27,QCalc!AC27))</f>
        <v/>
      </c>
      <c r="AI47" s="737"/>
      <c r="AJ47" s="270" t="str">
        <f>IF($D47=0,0,IF(NOT(QUOTE_Split_SoftwareHardware),QCalc!R58,QCalc!AF27))</f>
        <v/>
      </c>
      <c r="AK47" s="271" t="str">
        <f>IF($D47=0,0,IF(NOT(QUOTE_Split_SoftwareHardware),QCalc!S58,QCalc!AG27))</f>
        <v/>
      </c>
    </row>
    <row r="48" spans="1:37" ht="11" customHeight="1" x14ac:dyDescent="0.2">
      <c r="A48" s="89"/>
      <c r="B48" s="78" t="str">
        <f>IF(AND(C48&gt;0,C48&lt;&gt;"",AND(LEFT(E48,7)&lt;&gt;"   • Wi",LEFT(E48,7)&lt;&gt;"   • XL")),
COUNT($C$23:C48),"")</f>
        <v/>
      </c>
      <c r="C48" s="87" t="str">
        <f>IF(NOT(QUOTE_Split_SoftwareHardware),QCalc!Q28,QCalc!X28)</f>
        <v/>
      </c>
      <c r="D48" s="132" t="str">
        <f t="shared" si="4"/>
        <v/>
      </c>
      <c r="E48" s="734" t="str">
        <f>IF(NOT(QUOTE_Split_SoftwareHardware),QCalc!N28,QCalc!U28)</f>
        <v/>
      </c>
      <c r="F48" s="735"/>
      <c r="G48" s="735"/>
      <c r="H48" s="735"/>
      <c r="I48" s="735"/>
      <c r="J48" s="735"/>
      <c r="K48" s="735"/>
      <c r="L48" s="735"/>
      <c r="M48" s="735"/>
      <c r="N48" s="735"/>
      <c r="O48" s="774" t="str">
        <f>IF(NOT(QUOTE_Split_SoftwareHardware),
IF(QUOTE_DetailedPrices,QCalc!P28,QCalc!O28),
IF(QUOTE_DetailedPrices,QCalc!W28,QCalc!V28))</f>
        <v/>
      </c>
      <c r="P48" s="775"/>
      <c r="Q48" s="270" t="str">
        <f>IF($D48=0,0,IF(NOT(QUOTE_Split_SoftwareHardware),QCalc!R28,QCalc!Y28))</f>
        <v/>
      </c>
      <c r="R48" s="271" t="str">
        <f>IF($D48=0,0,
IF(NOT(QUOTE_Split_SoftwareHardware),QCalc!S28,QCalc!Z28)
)</f>
        <v/>
      </c>
      <c r="T48" s="89"/>
      <c r="U48" s="78" t="str">
        <f>IF(AND(V48&gt;0,V48&lt;&gt;"",AND(LEFT(X48,7)&lt;&gt;"   • Wi",LEFT(X48,7)&lt;&gt;"   • XL")),
COUNT($V$23:V48)
+IF(NOT(QUOTE_Split_SoftwareHardware),MAX($B$23:$B$53),0),"")</f>
        <v/>
      </c>
      <c r="V48" s="87" t="str">
        <f>IF(NOT(QUOTE_Split_SoftwareHardware),QCalc!Q59,QCalc!AE28)</f>
        <v/>
      </c>
      <c r="W48" s="87" t="str">
        <f t="shared" si="5"/>
        <v/>
      </c>
      <c r="X48" s="734" t="str">
        <f>IF(NOT(QUOTE_Split_SoftwareHardware),QCalc!N59,QCalc!AB28)</f>
        <v/>
      </c>
      <c r="Y48" s="735"/>
      <c r="Z48" s="735"/>
      <c r="AA48" s="735"/>
      <c r="AB48" s="735"/>
      <c r="AC48" s="735"/>
      <c r="AD48" s="735"/>
      <c r="AE48" s="735"/>
      <c r="AF48" s="735"/>
      <c r="AG48" s="735"/>
      <c r="AH48" s="736" t="str">
        <f>IF(NOT(QUOTE_Split_SoftwareHardware),
IF(QUOTE_DetailedPrices,QCalc!P59,QCalc!O59),
IF(QUOTE_DetailedPrices,QCalc!AD28,QCalc!AC28))</f>
        <v/>
      </c>
      <c r="AI48" s="737"/>
      <c r="AJ48" s="270" t="str">
        <f>IF($D48=0,0,IF(NOT(QUOTE_Split_SoftwareHardware),QCalc!R59,QCalc!AF28))</f>
        <v/>
      </c>
      <c r="AK48" s="271" t="str">
        <f>IF($D48=0,0,IF(NOT(QUOTE_Split_SoftwareHardware),QCalc!S59,QCalc!AG28))</f>
        <v/>
      </c>
    </row>
    <row r="49" spans="1:37" ht="11" customHeight="1" x14ac:dyDescent="0.2">
      <c r="A49" s="89"/>
      <c r="B49" s="78" t="str">
        <f>IF(AND(C49&gt;0,C49&lt;&gt;"",AND(LEFT(E49,7)&lt;&gt;"   • Wi",LEFT(E49,7)&lt;&gt;"   • XL")),
COUNT($C$23:C49),"")</f>
        <v/>
      </c>
      <c r="C49" s="87" t="str">
        <f>IF(NOT(QUOTE_Split_SoftwareHardware),QCalc!Q29,QCalc!X29)</f>
        <v/>
      </c>
      <c r="D49" s="132" t="str">
        <f t="shared" si="4"/>
        <v/>
      </c>
      <c r="E49" s="734" t="str">
        <f>IF(NOT(QUOTE_Split_SoftwareHardware),QCalc!N29,QCalc!U29)</f>
        <v/>
      </c>
      <c r="F49" s="735"/>
      <c r="G49" s="735"/>
      <c r="H49" s="735"/>
      <c r="I49" s="735"/>
      <c r="J49" s="735"/>
      <c r="K49" s="735"/>
      <c r="L49" s="735"/>
      <c r="M49" s="735"/>
      <c r="N49" s="735"/>
      <c r="O49" s="774" t="str">
        <f>IF(NOT(QUOTE_Split_SoftwareHardware),
IF(QUOTE_DetailedPrices,QCalc!P29,QCalc!O29),
IF(QUOTE_DetailedPrices,QCalc!W29,QCalc!V29))</f>
        <v/>
      </c>
      <c r="P49" s="775"/>
      <c r="Q49" s="270" t="str">
        <f>IF($D49=0,0,IF(NOT(QUOTE_Split_SoftwareHardware),QCalc!R29,QCalc!Y29))</f>
        <v/>
      </c>
      <c r="R49" s="271" t="str">
        <f>IF($D49=0,0,
IF(NOT(QUOTE_Split_SoftwareHardware),QCalc!S29,QCalc!Z29)
)</f>
        <v/>
      </c>
      <c r="T49" s="89"/>
      <c r="U49" s="78" t="str">
        <f>IF(AND(V49&gt;0,V49&lt;&gt;"",AND(LEFT(X49,7)&lt;&gt;"   • Wi",LEFT(X49,7)&lt;&gt;"   • XL")),
COUNT($V$23:V49)
+IF(NOT(QUOTE_Split_SoftwareHardware),MAX($B$23:$B$53),0),"")</f>
        <v/>
      </c>
      <c r="V49" s="87" t="str">
        <f>IF(NOT(QUOTE_Split_SoftwareHardware),QCalc!Q60,QCalc!AE29)</f>
        <v/>
      </c>
      <c r="W49" s="87" t="str">
        <f t="shared" si="5"/>
        <v/>
      </c>
      <c r="X49" s="734" t="str">
        <f>IF(NOT(QUOTE_Split_SoftwareHardware),QCalc!N60,QCalc!AB29)</f>
        <v/>
      </c>
      <c r="Y49" s="735"/>
      <c r="Z49" s="735"/>
      <c r="AA49" s="735"/>
      <c r="AB49" s="735"/>
      <c r="AC49" s="735"/>
      <c r="AD49" s="735"/>
      <c r="AE49" s="735"/>
      <c r="AF49" s="735"/>
      <c r="AG49" s="735"/>
      <c r="AH49" s="736" t="str">
        <f>IF(NOT(QUOTE_Split_SoftwareHardware),
IF(QUOTE_DetailedPrices,QCalc!P60,QCalc!O60),
IF(QUOTE_DetailedPrices,QCalc!AD29,QCalc!AC29))</f>
        <v/>
      </c>
      <c r="AI49" s="737"/>
      <c r="AJ49" s="270" t="str">
        <f>IF($D49=0,0,IF(NOT(QUOTE_Split_SoftwareHardware),QCalc!R60,QCalc!AF29))</f>
        <v/>
      </c>
      <c r="AK49" s="271" t="str">
        <f>IF($D49=0,0,IF(NOT(QUOTE_Split_SoftwareHardware),QCalc!S60,QCalc!AG29))</f>
        <v/>
      </c>
    </row>
    <row r="50" spans="1:37" ht="11" customHeight="1" x14ac:dyDescent="0.2">
      <c r="A50" s="89"/>
      <c r="B50" s="78" t="str">
        <f>IF(AND(C50&gt;0,C50&lt;&gt;"",AND(LEFT(E50,7)&lt;&gt;"   • Wi",LEFT(E50,7)&lt;&gt;"   • XL")),
COUNT($C$23:C50),"")</f>
        <v/>
      </c>
      <c r="C50" s="87" t="str">
        <f>IF(NOT(QUOTE_Split_SoftwareHardware),QCalc!Q30,QCalc!X30)</f>
        <v/>
      </c>
      <c r="D50" s="132" t="str">
        <f t="shared" si="4"/>
        <v/>
      </c>
      <c r="E50" s="734" t="str">
        <f>IF(NOT(QUOTE_Split_SoftwareHardware),QCalc!N30,QCalc!U30)</f>
        <v/>
      </c>
      <c r="F50" s="735"/>
      <c r="G50" s="735"/>
      <c r="H50" s="735"/>
      <c r="I50" s="735"/>
      <c r="J50" s="735"/>
      <c r="K50" s="735"/>
      <c r="L50" s="735"/>
      <c r="M50" s="735"/>
      <c r="N50" s="735"/>
      <c r="O50" s="774" t="str">
        <f>IF(NOT(QUOTE_Split_SoftwareHardware),
IF(QUOTE_DetailedPrices,QCalc!P30,QCalc!O30),
IF(QUOTE_DetailedPrices,QCalc!W30,QCalc!V30))</f>
        <v/>
      </c>
      <c r="P50" s="775"/>
      <c r="Q50" s="270" t="str">
        <f>IF($D50=0,0,IF(NOT(QUOTE_Split_SoftwareHardware),QCalc!R30,QCalc!Y30))</f>
        <v/>
      </c>
      <c r="R50" s="271" t="str">
        <f>IF($D50=0,0,
IF(NOT(QUOTE_Split_SoftwareHardware),QCalc!S30,QCalc!Z30)
)</f>
        <v/>
      </c>
      <c r="T50" s="89"/>
      <c r="U50" s="78" t="str">
        <f>IF(AND(V50&gt;0,V50&lt;&gt;"",AND(LEFT(X50,7)&lt;&gt;"   • Wi",LEFT(X50,7)&lt;&gt;"   • XL")),
COUNT($V$23:V50)
+IF(NOT(QUOTE_Split_SoftwareHardware),MAX($B$23:$B$53),0),"")</f>
        <v/>
      </c>
      <c r="V50" s="87" t="str">
        <f>IF(NOT(QUOTE_Split_SoftwareHardware),QCalc!Q61,QCalc!AE30)</f>
        <v/>
      </c>
      <c r="W50" s="87" t="str">
        <f t="shared" si="5"/>
        <v/>
      </c>
      <c r="X50" s="734" t="str">
        <f>IF(NOT(QUOTE_Split_SoftwareHardware),QCalc!N61,QCalc!AB30)</f>
        <v/>
      </c>
      <c r="Y50" s="735"/>
      <c r="Z50" s="735"/>
      <c r="AA50" s="735"/>
      <c r="AB50" s="735"/>
      <c r="AC50" s="735"/>
      <c r="AD50" s="735"/>
      <c r="AE50" s="735"/>
      <c r="AF50" s="735"/>
      <c r="AG50" s="735"/>
      <c r="AH50" s="736" t="str">
        <f>IF(NOT(QUOTE_Split_SoftwareHardware),
IF(QUOTE_DetailedPrices,QCalc!P61,QCalc!O61),
IF(QUOTE_DetailedPrices,QCalc!AD30,QCalc!AC30))</f>
        <v/>
      </c>
      <c r="AI50" s="737"/>
      <c r="AJ50" s="270" t="str">
        <f>IF($D50=0,0,IF(NOT(QUOTE_Split_SoftwareHardware),QCalc!R61,QCalc!AF30))</f>
        <v/>
      </c>
      <c r="AK50" s="271" t="str">
        <f>IF($D50=0,0,IF(NOT(QUOTE_Split_SoftwareHardware),QCalc!S61,QCalc!AG30))</f>
        <v/>
      </c>
    </row>
    <row r="51" spans="1:37" ht="11" customHeight="1" x14ac:dyDescent="0.2">
      <c r="A51" s="89"/>
      <c r="B51" s="78" t="str">
        <f>IF(AND(C51&gt;0,C51&lt;&gt;"",AND(LEFT(E51,7)&lt;&gt;"   • Wi",LEFT(E51,7)&lt;&gt;"   • XL")),
COUNT($C$23:C51),"")</f>
        <v/>
      </c>
      <c r="C51" s="87" t="str">
        <f>IF(NOT(QUOTE_Split_SoftwareHardware),QCalc!Q31,QCalc!X31)</f>
        <v/>
      </c>
      <c r="D51" s="132" t="str">
        <f t="shared" si="4"/>
        <v/>
      </c>
      <c r="E51" s="734" t="str">
        <f>IF(NOT(QUOTE_Split_SoftwareHardware),QCalc!N31,QCalc!U31)</f>
        <v/>
      </c>
      <c r="F51" s="735"/>
      <c r="G51" s="735"/>
      <c r="H51" s="735"/>
      <c r="I51" s="735"/>
      <c r="J51" s="735"/>
      <c r="K51" s="735"/>
      <c r="L51" s="735"/>
      <c r="M51" s="735"/>
      <c r="N51" s="735"/>
      <c r="O51" s="774" t="str">
        <f>IF(NOT(QUOTE_Split_SoftwareHardware),
IF(QUOTE_DetailedPrices,QCalc!P31,QCalc!O31),
IF(QUOTE_DetailedPrices,QCalc!W31,QCalc!V31))</f>
        <v/>
      </c>
      <c r="P51" s="775"/>
      <c r="Q51" s="270" t="str">
        <f>IF($D51=0,0,IF(NOT(QUOTE_Split_SoftwareHardware),QCalc!R31,QCalc!Y31))</f>
        <v/>
      </c>
      <c r="R51" s="271" t="str">
        <f>IF($D51=0,0,
IF(NOT(QUOTE_Split_SoftwareHardware),QCalc!S31,QCalc!Z31)
)</f>
        <v/>
      </c>
      <c r="T51" s="89"/>
      <c r="U51" s="78" t="str">
        <f>IF(AND(V51&gt;0,V51&lt;&gt;"",AND(LEFT(X51,7)&lt;&gt;"   • Wi",LEFT(X51,7)&lt;&gt;"   • XL")),
COUNT($V$23:V51)
+IF(NOT(QUOTE_Split_SoftwareHardware),MAX($B$23:$B$53),0),"")</f>
        <v/>
      </c>
      <c r="V51" s="87" t="str">
        <f>IF(NOT(QUOTE_Split_SoftwareHardware),QCalc!Q62,QCalc!AE31)</f>
        <v/>
      </c>
      <c r="W51" s="87" t="str">
        <f t="shared" si="5"/>
        <v/>
      </c>
      <c r="X51" s="734" t="str">
        <f>IF(NOT(QUOTE_Split_SoftwareHardware),QCalc!N62,QCalc!AB31)</f>
        <v/>
      </c>
      <c r="Y51" s="735"/>
      <c r="Z51" s="735"/>
      <c r="AA51" s="735"/>
      <c r="AB51" s="735"/>
      <c r="AC51" s="735"/>
      <c r="AD51" s="735"/>
      <c r="AE51" s="735"/>
      <c r="AF51" s="735"/>
      <c r="AG51" s="735"/>
      <c r="AH51" s="736" t="str">
        <f>IF(NOT(QUOTE_Split_SoftwareHardware),
IF(QUOTE_DetailedPrices,QCalc!P62,QCalc!O62),
IF(QUOTE_DetailedPrices,QCalc!AD31,QCalc!AC31))</f>
        <v/>
      </c>
      <c r="AI51" s="737"/>
      <c r="AJ51" s="270" t="str">
        <f>IF($D51=0,0,IF(NOT(QUOTE_Split_SoftwareHardware),QCalc!R62,QCalc!AF31))</f>
        <v/>
      </c>
      <c r="AK51" s="271" t="str">
        <f>IF($D51=0,0,IF(NOT(QUOTE_Split_SoftwareHardware),QCalc!S62,QCalc!AG31))</f>
        <v/>
      </c>
    </row>
    <row r="52" spans="1:37" ht="11" customHeight="1" x14ac:dyDescent="0.2">
      <c r="A52" s="89"/>
      <c r="B52" s="78" t="str">
        <f>IF(AND(C52&gt;0,C52&lt;&gt;"",AND(LEFT(E52,7)&lt;&gt;"   • Wi",LEFT(E52,7)&lt;&gt;"   • XL")),
COUNT($C$23:C52),"")</f>
        <v/>
      </c>
      <c r="C52" s="87" t="str">
        <f>IF(NOT(QUOTE_Split_SoftwareHardware),QCalc!Q32,QCalc!X32)</f>
        <v/>
      </c>
      <c r="D52" s="132" t="str">
        <f t="shared" si="4"/>
        <v/>
      </c>
      <c r="E52" s="734" t="str">
        <f>IF(NOT(QUOTE_Split_SoftwareHardware),QCalc!N32,QCalc!U32)</f>
        <v/>
      </c>
      <c r="F52" s="735"/>
      <c r="G52" s="735"/>
      <c r="H52" s="735"/>
      <c r="I52" s="735"/>
      <c r="J52" s="735"/>
      <c r="K52" s="735"/>
      <c r="L52" s="735"/>
      <c r="M52" s="735"/>
      <c r="N52" s="735"/>
      <c r="O52" s="774" t="str">
        <f>IF(NOT(QUOTE_Split_SoftwareHardware),
IF(QUOTE_DetailedPrices,QCalc!P32,QCalc!O32),
IF(QUOTE_DetailedPrices,QCalc!W32,QCalc!V32))</f>
        <v/>
      </c>
      <c r="P52" s="775"/>
      <c r="Q52" s="270" t="str">
        <f>IF($D52=0,0,IF(NOT(QUOTE_Split_SoftwareHardware),QCalc!R32,QCalc!Y32))</f>
        <v/>
      </c>
      <c r="R52" s="271" t="str">
        <f>IF($D52=0,0,
IF(NOT(QUOTE_Split_SoftwareHardware),QCalc!S32,QCalc!Z32)
)</f>
        <v/>
      </c>
      <c r="T52" s="89"/>
      <c r="U52" s="78" t="str">
        <f>IF(AND(V52&gt;0,V52&lt;&gt;"",AND(LEFT(X52,7)&lt;&gt;"   • Wi",LEFT(X52,7)&lt;&gt;"   • XL")),
COUNT($V$23:V52)
+IF(NOT(QUOTE_Split_SoftwareHardware),MAX($B$23:$B$53),0),"")</f>
        <v/>
      </c>
      <c r="V52" s="87" t="str">
        <f>IF(NOT(QUOTE_Split_SoftwareHardware),QCalc!Q63,QCalc!AE32)</f>
        <v/>
      </c>
      <c r="W52" s="87" t="str">
        <f t="shared" si="5"/>
        <v/>
      </c>
      <c r="X52" s="734" t="str">
        <f>IF(NOT(QUOTE_Split_SoftwareHardware),QCalc!N63,QCalc!AB32)</f>
        <v/>
      </c>
      <c r="Y52" s="735"/>
      <c r="Z52" s="735"/>
      <c r="AA52" s="735"/>
      <c r="AB52" s="735"/>
      <c r="AC52" s="735"/>
      <c r="AD52" s="735"/>
      <c r="AE52" s="735"/>
      <c r="AF52" s="735"/>
      <c r="AG52" s="735"/>
      <c r="AH52" s="736" t="str">
        <f>IF(NOT(QUOTE_Split_SoftwareHardware),
IF(QUOTE_DetailedPrices,QCalc!P63,QCalc!O63),
IF(QUOTE_DetailedPrices,QCalc!AD32,QCalc!AC32))</f>
        <v/>
      </c>
      <c r="AI52" s="737"/>
      <c r="AJ52" s="270" t="str">
        <f>IF($D52=0,0,IF(NOT(QUOTE_Split_SoftwareHardware),QCalc!R63,QCalc!AF32))</f>
        <v/>
      </c>
      <c r="AK52" s="271" t="str">
        <f>IF($D52=0,0,IF(NOT(QUOTE_Split_SoftwareHardware),QCalc!S63,QCalc!AG32))</f>
        <v/>
      </c>
    </row>
    <row r="53" spans="1:37" ht="11" customHeight="1" x14ac:dyDescent="0.2">
      <c r="A53" s="89"/>
      <c r="B53" s="78" t="str">
        <f>IF(AND(C53&gt;0,C53&lt;&gt;"",AND(LEFT(E53,7)&lt;&gt;"   • Wi",LEFT(E53,7)&lt;&gt;"   • XL")),
COUNT($C$23:C53),"")</f>
        <v/>
      </c>
      <c r="C53" s="87" t="str">
        <f>IF(NOT(QUOTE_Split_SoftwareHardware),QCalc!Q33,QCalc!X33)</f>
        <v/>
      </c>
      <c r="D53" s="132" t="str">
        <f t="shared" si="4"/>
        <v/>
      </c>
      <c r="E53" s="734" t="str">
        <f>IF(NOT(QUOTE_Split_SoftwareHardware),QCalc!N33,QCalc!U33)</f>
        <v/>
      </c>
      <c r="F53" s="735"/>
      <c r="G53" s="735"/>
      <c r="H53" s="735"/>
      <c r="I53" s="735"/>
      <c r="J53" s="735"/>
      <c r="K53" s="735"/>
      <c r="L53" s="735"/>
      <c r="M53" s="735"/>
      <c r="N53" s="735"/>
      <c r="O53" s="774" t="str">
        <f>IF(NOT(QUOTE_Split_SoftwareHardware),
IF(QUOTE_DetailedPrices,QCalc!P33,QCalc!O33),
IF(QUOTE_DetailedPrices,QCalc!W33,QCalc!V33))</f>
        <v/>
      </c>
      <c r="P53" s="775"/>
      <c r="Q53" s="270" t="str">
        <f>IF($D53=0,0,IF(NOT(QUOTE_Split_SoftwareHardware),QCalc!R33,QCalc!Y33))</f>
        <v/>
      </c>
      <c r="R53" s="271" t="str">
        <f>IF($D53=0,0,
IF(NOT(QUOTE_Split_SoftwareHardware),QCalc!S33,QCalc!Z33)
)</f>
        <v/>
      </c>
      <c r="T53" s="89"/>
      <c r="U53" s="78" t="str">
        <f>IF(AND(V53&gt;0,V53&lt;&gt;"",AND(LEFT(X53,7)&lt;&gt;"   • Wi",LEFT(X53,7)&lt;&gt;"   • XL")),
COUNT($V$23:V53)
+IF(NOT(QUOTE_Split_SoftwareHardware),MAX($B$23:$B$53),0),"")</f>
        <v/>
      </c>
      <c r="V53" s="87" t="str">
        <f>IF(NOT(QUOTE_Split_SoftwareHardware),QCalc!Q64,QCalc!AE33)</f>
        <v/>
      </c>
      <c r="W53" s="87" t="str">
        <f t="shared" si="5"/>
        <v/>
      </c>
      <c r="X53" s="734" t="str">
        <f>IF(NOT(QUOTE_Split_SoftwareHardware),QCalc!N64,QCalc!AB33)</f>
        <v/>
      </c>
      <c r="Y53" s="735"/>
      <c r="Z53" s="735"/>
      <c r="AA53" s="735"/>
      <c r="AB53" s="735"/>
      <c r="AC53" s="735"/>
      <c r="AD53" s="735"/>
      <c r="AE53" s="735"/>
      <c r="AF53" s="735"/>
      <c r="AG53" s="735"/>
      <c r="AH53" s="736" t="str">
        <f>IF(NOT(QUOTE_Split_SoftwareHardware),
IF(QUOTE_DetailedPrices,QCalc!P64,QCalc!O64),
IF(QUOTE_DetailedPrices,QCalc!AD33,QCalc!AC33))</f>
        <v/>
      </c>
      <c r="AI53" s="737"/>
      <c r="AJ53" s="270" t="str">
        <f>IF($D53=0,0,IF(NOT(QUOTE_Split_SoftwareHardware),QCalc!R64,QCalc!AF33))</f>
        <v/>
      </c>
      <c r="AK53" s="271" t="str">
        <f>IF($D53=0,0,IF(NOT(QUOTE_Split_SoftwareHardware),QCalc!S64,QCalc!AG33))</f>
        <v/>
      </c>
    </row>
    <row r="54" spans="1:37" ht="11" customHeight="1" x14ac:dyDescent="0.2">
      <c r="A54" s="90"/>
      <c r="B54" s="125"/>
      <c r="C54" s="92"/>
      <c r="D54" s="92"/>
      <c r="E54" s="748" t="str">
        <f>IF(AND(QUOTE_Split_SoftwareHardware,COUNTIF(TableQCalcMain[ShowSoft],"&gt;0")&gt;31),IF(Francais,"DÉBORDEMENT, Certains items ne sont pas affichés et facturés","OVERFLOW, Some items are not shown and billed"),
IF(QUOTE_FilledByCustomer,
IF(Francais,"Rabais (1 %) pour la saisie d'informations complètes sur l'acheteur (Facturer à / Expédier à) sur la feuille Home.","Discount (1%) for entering complete buyer information (Bill to/Ship To) on the Home sheet."),
IF(RIGHT(R64,1)&lt;&gt;"1",IF(Francais,"Inclus aussi les items sur la(les) page(s) suivante(s)","Also includes items on next page(s)"),"")))</f>
        <v/>
      </c>
      <c r="F54" s="749"/>
      <c r="G54" s="749"/>
      <c r="H54" s="749"/>
      <c r="I54" s="749"/>
      <c r="J54" s="749"/>
      <c r="K54" s="749"/>
      <c r="L54" s="749"/>
      <c r="M54" s="749"/>
      <c r="N54" s="749"/>
      <c r="O54" s="739"/>
      <c r="P54" s="739"/>
      <c r="Q54" s="272" t="str">
        <f>IF(QUOTE_FilledByCustomer,"DISC01","")</f>
        <v/>
      </c>
      <c r="R54" s="273" t="str">
        <f>IFERROR(IF(AND(FIND("DISC",LEFT(Q54,4)),ISNUMBER(_xlfn.NUMBERVALUE(RIGHT(Q54,2)))),
(SUM(R23:R53)+SUM(AK23:AK53))*_xlfn.NUMBERVALUE(RIGHT(Q54,2)/-100),
0),"")</f>
        <v/>
      </c>
      <c r="T54" s="90"/>
      <c r="U54" s="125"/>
      <c r="V54" s="92"/>
      <c r="W54" s="92"/>
      <c r="X54" s="126"/>
      <c r="Y54" s="762"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62"/>
      <c r="AA54" s="762"/>
      <c r="AB54" s="762"/>
      <c r="AC54" s="762"/>
      <c r="AD54" s="762"/>
      <c r="AE54" s="762"/>
      <c r="AF54" s="762"/>
      <c r="AG54" s="762"/>
      <c r="AH54" s="739"/>
      <c r="AI54" s="739"/>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653"/>
      <c r="C56" s="82"/>
      <c r="D56" s="82"/>
      <c r="E56" s="82"/>
      <c r="F56" s="82"/>
      <c r="G56" s="83"/>
      <c r="H56" s="84"/>
      <c r="I56" s="84"/>
      <c r="J56" s="84"/>
      <c r="K56" s="84"/>
      <c r="L56" s="84"/>
      <c r="M56" s="84"/>
      <c r="N56" s="84"/>
      <c r="O56" s="52"/>
      <c r="P56" s="93" t="str">
        <f>IF(Francais,"Sous-total","Subtotal")</f>
        <v>Subtotal</v>
      </c>
      <c r="Q56" s="63"/>
      <c r="R56" s="98">
        <f>SUM(R23:R54)+IF(NOT(QUOTE_Split_SoftwareHardware),SUM(AK23:AK54),0)</f>
        <v>0</v>
      </c>
      <c r="T56" s="51"/>
      <c r="U56" s="653"/>
      <c r="V56" s="82"/>
      <c r="W56" s="82"/>
      <c r="X56" s="82"/>
      <c r="Y56" s="82"/>
      <c r="Z56" s="83"/>
      <c r="AA56" s="84"/>
      <c r="AB56" s="84"/>
      <c r="AC56" s="84"/>
      <c r="AD56" s="84"/>
      <c r="AE56" s="84"/>
      <c r="AF56" s="84"/>
      <c r="AG56" s="84"/>
      <c r="AH56" s="52"/>
      <c r="AI56" s="93" t="str">
        <f>IF(Francais,"Sous-total","Subtotal")</f>
        <v>Subtotal</v>
      </c>
      <c r="AJ56" s="63"/>
      <c r="AK56" s="98">
        <f>SUM(AK23:AK54)</f>
        <v>0</v>
      </c>
    </row>
    <row r="57" spans="1:37" x14ac:dyDescent="0.2">
      <c r="B57" s="650"/>
      <c r="C57" s="650"/>
      <c r="D57" s="650"/>
      <c r="E57" s="651"/>
      <c r="F57" s="651"/>
      <c r="G57" s="651"/>
      <c r="H57" s="651"/>
      <c r="I57" s="651"/>
      <c r="J57" s="651"/>
      <c r="K57" s="651"/>
      <c r="L57" s="651"/>
      <c r="M57" s="646"/>
      <c r="N57" s="651"/>
      <c r="O57" s="646"/>
      <c r="P57" s="647" t="str">
        <f>IF(Francais,"Frais de port","Shipping")</f>
        <v>Shipping</v>
      </c>
      <c r="Q57" s="648"/>
      <c r="R57" s="649">
        <f>QUOTE_Shipping</f>
        <v>0</v>
      </c>
      <c r="T57" s="51"/>
      <c r="U57" s="650"/>
      <c r="V57" s="650"/>
      <c r="W57" s="650"/>
      <c r="X57" s="651"/>
      <c r="Y57" s="651"/>
      <c r="Z57" s="651"/>
      <c r="AA57" s="651"/>
      <c r="AB57" s="651"/>
      <c r="AC57" s="651"/>
      <c r="AD57" s="651"/>
      <c r="AE57" s="651"/>
      <c r="AF57" s="646"/>
      <c r="AG57" s="651"/>
      <c r="AH57" s="52"/>
      <c r="AI57" s="93" t="str">
        <f>IF(Francais,"Frais de port","Shipping")</f>
        <v>Shipping</v>
      </c>
      <c r="AJ57" s="63"/>
      <c r="AK57" s="100">
        <f>IF(NOT(QUOTE_Split_SoftwareHardware),
0,
IF(SHIP_Country_Index&gt;21,IF(Francais,"À déterminer","To be determined"),SHIP_CostTotal))</f>
        <v>0</v>
      </c>
    </row>
    <row r="58" spans="1:37" x14ac:dyDescent="0.2">
      <c r="B58" s="651"/>
      <c r="C58" s="651"/>
      <c r="D58" s="651"/>
      <c r="E58" s="651"/>
      <c r="F58" s="651"/>
      <c r="G58" s="651"/>
      <c r="H58" s="651"/>
      <c r="I58" s="651"/>
      <c r="J58" s="651"/>
      <c r="K58" s="651"/>
      <c r="L58" s="651"/>
      <c r="M58" s="646"/>
      <c r="N58" s="651"/>
      <c r="O58" s="52"/>
      <c r="P58" s="99" t="str">
        <f>IF(SHIP_Country_Index=1,
IF(R58&gt;0,"GST (#130801764)","GST N/A"),
"")</f>
        <v/>
      </c>
      <c r="Q58" s="67"/>
      <c r="R58" s="100" t="str">
        <f>IF(SHIP_Country_Index=1,
(R56+IF(ISNUMBER(R57),R57,0))*
IFERROR(INDEX(TableLists[Column6],MATCH(HOME_Province_Ship,TableLists[Column5],0)),0),
"")</f>
        <v/>
      </c>
      <c r="T58" s="51"/>
      <c r="U58" s="651"/>
      <c r="V58" s="651"/>
      <c r="W58" s="651"/>
      <c r="X58" s="651"/>
      <c r="Y58" s="651"/>
      <c r="Z58" s="651"/>
      <c r="AA58" s="651"/>
      <c r="AB58" s="651"/>
      <c r="AC58" s="651"/>
      <c r="AD58" s="651"/>
      <c r="AE58" s="651"/>
      <c r="AF58" s="646"/>
      <c r="AG58" s="651"/>
      <c r="AH58" s="52"/>
      <c r="AI58" s="99" t="str">
        <f>IF(SHIP_Country_Index=1,
IF(AK58&gt;0,"GST (#130801764)","GST N/A"),
"")</f>
        <v/>
      </c>
      <c r="AJ58" s="67"/>
      <c r="AK58" s="100" t="str">
        <f>IF(SHIP_Country_Index=1,
(AK56+IF(ISNUMBER(AK57),AK57,0))*
IFERROR(INDEX(TableLists[Column6],MATCH(HOME_Province_Ship,TableLists[Column5],0)),0),
"")</f>
        <v/>
      </c>
    </row>
    <row r="59" spans="1:37" ht="11" customHeight="1" x14ac:dyDescent="0.2">
      <c r="B59" s="651"/>
      <c r="C59" s="651"/>
      <c r="D59" s="651"/>
      <c r="E59" s="651"/>
      <c r="F59" s="651"/>
      <c r="G59" s="651"/>
      <c r="H59" s="651"/>
      <c r="I59" s="651"/>
      <c r="J59" s="651"/>
      <c r="K59" s="651"/>
      <c r="L59" s="651"/>
      <c r="M59" s="646"/>
      <c r="N59" s="651"/>
      <c r="O59" s="52"/>
      <c r="P59" s="99" t="str">
        <f>IF(SHIP_Country_Index=1,
IF(IFERROR(MATCH(HOME_Province,{"QC";"PQ"},0),0)&gt;0,IF(Francais,"TVQ","QST"),IF(Francais,"TVH","HST")) &amp; IF(R59&gt;0," (#1011238609)"," N/A"),
"")</f>
        <v/>
      </c>
      <c r="Q59" s="67"/>
      <c r="R59" s="100" t="str">
        <f>IF(SHIP_Country_Index=1,
(R56+IF(ISNUMBER(R57),R57,0))*
IFERROR(INDEX(TableLists[Column7],MATCH(HOME_Province_Ship,TableLists[Column5],0)),0),
"")</f>
        <v/>
      </c>
      <c r="T59" s="51"/>
      <c r="U59" s="651"/>
      <c r="V59" s="651"/>
      <c r="W59" s="651"/>
      <c r="X59" s="651"/>
      <c r="Y59" s="651"/>
      <c r="Z59" s="651"/>
      <c r="AA59" s="651"/>
      <c r="AB59" s="651"/>
      <c r="AC59" s="651"/>
      <c r="AD59" s="651"/>
      <c r="AE59" s="651"/>
      <c r="AF59" s="646"/>
      <c r="AG59" s="651"/>
      <c r="AH59" s="52"/>
      <c r="AI59" s="99" t="str">
        <f>IF(SHIP_Country_Index=1,
IF(IFERROR(MATCH(HOME_Province,{"QC";"PQ"},0),0)&gt;0,IF(Francais,"TVQ","QST"),IF(Francais,"TVH","HST")) &amp; IF(AK59&gt;0," (#1011238609)"," N/A"),
"")</f>
        <v/>
      </c>
      <c r="AJ59" s="67"/>
      <c r="AK59" s="100" t="str">
        <f>IF(SHIP_Country_Index=1,
(AK56+IF(ISNUMBER(AK57),AK57,0))*
IFERROR(INDEX(TableLists[Column7],MATCH(HOME_Province_Ship,TableLists[Column5],0)),0),
"")</f>
        <v/>
      </c>
    </row>
    <row r="60" spans="1:37" x14ac:dyDescent="0.2">
      <c r="B60" s="645" t="str">
        <f>IF(Francais,"Informations pour Virement Bancaire","Bank Information for Wire Transfer")</f>
        <v>Bank Information for Wire Transfer</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Bank Information for Wire Transfer</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Euros</v>
      </c>
    </row>
    <row r="62" spans="1:37" x14ac:dyDescent="0.2">
      <c r="B62" s="123"/>
      <c r="C62" s="123"/>
      <c r="D62" s="123"/>
      <c r="E62" s="123"/>
      <c r="F62" s="123"/>
      <c r="G62" s="123"/>
      <c r="H62" s="318"/>
      <c r="I62" s="123"/>
      <c r="J62" s="123"/>
      <c r="K62" s="123"/>
      <c r="L62" s="123"/>
      <c r="M62" s="123"/>
      <c r="N62" s="733" t="str">
        <f>IF(Francais,"Voir nos conditions de ventes (page suivante)","See Sales Terms &amp; Conditions next page")</f>
        <v>See Sales Terms &amp; Conditions next page</v>
      </c>
      <c r="O62" s="733"/>
      <c r="P62" s="733"/>
      <c r="Q62" s="733"/>
      <c r="R62" s="733"/>
      <c r="T62" s="51"/>
      <c r="U62" s="56"/>
      <c r="V62" s="56"/>
      <c r="W62" s="56"/>
      <c r="X62" s="56"/>
      <c r="Y62" s="56"/>
      <c r="Z62" s="56"/>
      <c r="AA62" s="56"/>
      <c r="AB62" s="56"/>
      <c r="AC62" s="56"/>
      <c r="AD62" s="56"/>
      <c r="AE62" s="56"/>
      <c r="AF62" s="56"/>
      <c r="AG62" s="733" t="str">
        <f>N62</f>
        <v>See Sales Terms &amp; Conditions next page</v>
      </c>
      <c r="AH62" s="733"/>
      <c r="AI62" s="733"/>
      <c r="AJ62" s="733"/>
      <c r="AK62" s="733"/>
    </row>
    <row r="63" spans="1:37" x14ac:dyDescent="0.2">
      <c r="B63" s="124"/>
      <c r="C63" s="124"/>
      <c r="D63" s="124"/>
      <c r="E63" s="124"/>
      <c r="F63" s="124"/>
      <c r="G63" s="124"/>
      <c r="H63" s="124"/>
      <c r="I63" s="124"/>
      <c r="J63" s="124"/>
      <c r="N63" s="733"/>
      <c r="O63" s="733"/>
      <c r="P63" s="733"/>
      <c r="Q63" s="733"/>
      <c r="R63" s="733"/>
      <c r="T63" s="51"/>
      <c r="U63" s="54"/>
      <c r="V63" s="54"/>
      <c r="W63" s="54"/>
      <c r="X63" s="54"/>
      <c r="Y63" s="54"/>
      <c r="Z63" s="54"/>
      <c r="AA63" s="54"/>
      <c r="AB63" s="54"/>
      <c r="AC63" s="54"/>
      <c r="AD63" s="51"/>
      <c r="AE63" s="51"/>
      <c r="AF63" s="51"/>
      <c r="AG63" s="733"/>
      <c r="AH63" s="733"/>
      <c r="AI63" s="733"/>
      <c r="AJ63" s="733"/>
      <c r="AK63" s="733"/>
    </row>
    <row r="64" spans="1:37" x14ac:dyDescent="0.2">
      <c r="N64" s="322" t="str">
        <f>IF(Francais,"Préparée par","Issued by")</f>
        <v>Issued by</v>
      </c>
      <c r="P64" s="322" t="str">
        <f>Quote!O64</f>
        <v>Diane Garant</v>
      </c>
      <c r="Q64" s="321"/>
      <c r="R64" s="76" t="str">
        <f>"Page 1 " &amp; IF(Francais,"de ","of ") &amp; IF(ROWS(Inv!$X$23:$X$53)&gt;COUNTBLANK(Inv!$X$23:$X$53),IF(NOT(QUOTE_Split_SoftwareHardware),2,1),1)</f>
        <v>Page 1 of 1</v>
      </c>
      <c r="T64" s="51"/>
      <c r="U64" s="51"/>
      <c r="V64" s="51"/>
      <c r="W64" s="51"/>
      <c r="X64" s="51"/>
      <c r="Y64" s="51"/>
      <c r="Z64" s="51"/>
      <c r="AA64" s="51"/>
      <c r="AB64" s="51"/>
      <c r="AC64" s="51"/>
      <c r="AD64" s="51"/>
      <c r="AE64" s="51"/>
      <c r="AF64" s="51"/>
      <c r="AG64" s="322" t="str">
        <f>IF(Francais,"Préparée par","Issued by")</f>
        <v>Issued by</v>
      </c>
      <c r="AI64" s="322" t="str">
        <f>P64</f>
        <v>Diane Garant</v>
      </c>
      <c r="AJ64" s="51"/>
      <c r="AK64" s="104" t="str">
        <f>SUBSTITUTE("Page 2 " &amp; IF(Francais,"de ","of ") &amp; "2","2",IF(NOT(QUOTE_Split_SoftwareHardware),"2","1"))</f>
        <v>Page 2 of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 &amp; "          " &amp; IFERROR(SHIP_Country_Abrev,"")</f>
        <v>#REF!</v>
      </c>
      <c r="T66" s="51"/>
      <c r="U66" s="51"/>
      <c r="V66" s="51"/>
      <c r="W66" s="51"/>
      <c r="X66" s="51"/>
      <c r="Y66" s="51"/>
      <c r="Z66" s="51"/>
      <c r="AA66" s="51"/>
      <c r="AB66" s="51"/>
      <c r="AC66" s="51"/>
      <c r="AD66" s="51"/>
      <c r="AE66" s="51"/>
      <c r="AF66" s="51"/>
      <c r="AG66" s="51"/>
      <c r="AH66" s="51"/>
      <c r="AI66" s="51"/>
      <c r="AJ66" s="51"/>
      <c r="AK66" s="51"/>
    </row>
    <row r="67" spans="1:38" x14ac:dyDescent="0.2">
      <c r="B67" s="326"/>
      <c r="T67" s="51"/>
      <c r="U67" s="51"/>
      <c r="V67" s="51"/>
      <c r="W67" s="51"/>
      <c r="X67" s="51"/>
      <c r="Y67" s="51"/>
      <c r="Z67" s="51"/>
      <c r="AA67" s="51"/>
      <c r="AB67" s="51"/>
      <c r="AC67" s="51"/>
      <c r="AD67" s="51"/>
      <c r="AE67" s="51"/>
      <c r="AF67" s="51"/>
      <c r="AG67" s="51"/>
      <c r="AH67" s="51"/>
      <c r="AI67" s="51"/>
      <c r="AJ67" s="51"/>
      <c r="AK67" s="51"/>
    </row>
    <row r="68" spans="1:38" x14ac:dyDescent="0.2">
      <c r="B68" s="326"/>
      <c r="T68" s="51"/>
      <c r="U68" s="51"/>
      <c r="V68" s="51"/>
      <c r="W68" s="51"/>
      <c r="X68" s="51"/>
      <c r="Y68" s="51"/>
      <c r="Z68" s="51"/>
      <c r="AA68" s="51"/>
      <c r="AB68" s="51"/>
      <c r="AC68" s="51"/>
      <c r="AD68" s="51"/>
      <c r="AE68" s="51"/>
      <c r="AF68" s="51"/>
      <c r="AG68" s="51"/>
      <c r="AH68" s="51"/>
      <c r="AI68" s="51"/>
      <c r="AJ68" s="51"/>
      <c r="AK68" s="51"/>
    </row>
    <row r="69" spans="1:38" x14ac:dyDescent="0.2">
      <c r="B69" s="326"/>
      <c r="T69" s="51"/>
      <c r="U69" s="51"/>
      <c r="V69" s="51"/>
      <c r="W69" s="51"/>
      <c r="X69" s="51"/>
      <c r="Y69" s="51"/>
      <c r="Z69" s="51"/>
      <c r="AA69" s="51"/>
      <c r="AB69" s="51"/>
      <c r="AC69" s="51"/>
      <c r="AD69" s="51"/>
      <c r="AE69" s="51"/>
      <c r="AF69" s="51"/>
      <c r="AG69" s="51"/>
      <c r="AH69" s="51"/>
      <c r="AI69" s="51"/>
      <c r="AJ69" s="51"/>
      <c r="AK69" s="51"/>
    </row>
    <row r="70" spans="1:38" ht="15.75" customHeight="1" x14ac:dyDescent="0.2">
      <c r="R70"/>
    </row>
    <row r="71" spans="1:38" ht="15.75" customHeight="1" x14ac:dyDescent="0.2">
      <c r="R71"/>
    </row>
    <row r="72" spans="1:38" ht="15.75" customHeight="1" x14ac:dyDescent="0.2">
      <c r="R72"/>
    </row>
    <row r="73" spans="1:38" ht="15.75" customHeight="1" x14ac:dyDescent="0.2">
      <c r="R73"/>
    </row>
    <row r="74" spans="1:38" ht="15.75" customHeight="1" x14ac:dyDescent="0.25">
      <c r="I74" s="431" t="str">
        <f>IF(Francais,"CONDITIONS GÉNÉRALES DE VENTE","SALES TERMS AND CONDITIONS")</f>
        <v>SALES TERMS AND CONDITIONS</v>
      </c>
      <c r="R74"/>
    </row>
    <row r="75" spans="1:38" ht="15.75" customHeight="1" x14ac:dyDescent="0.2">
      <c r="R75"/>
    </row>
    <row r="76" spans="1:38" ht="15.75" customHeight="1" x14ac:dyDescent="0.2">
      <c r="B76" s="742" t="str">
        <f>IF(Francais,"Le même prix pour le monde entier* est possible en acceptant les conditions générales de vente ci-dessous. Si vous ne pouvez pas les accepter, cochez la case ""Bureaucratie"" en haut de la feuille Quote et les prix seront ajustés en conséquence.",
"Same price worldwide* is made possible by accepting our sales terms &amp; conditions below. If you can't accept them, activate the ""Bureaucracy"" check box at the top of the Quote sheet and prices will be adjusted accordingly.")</f>
        <v>Same price worldwide* is made possible by accepting our sales terms &amp; conditions below. If you can't accept them, activate the "Bureaucracy" check box at the top of the Quote sheet and prices will be adjusted accordingly.</v>
      </c>
      <c r="C76" s="742"/>
      <c r="D76" s="742"/>
      <c r="E76" s="742"/>
      <c r="F76" s="742"/>
      <c r="G76" s="742"/>
      <c r="H76" s="742"/>
      <c r="I76" s="742"/>
      <c r="J76" s="742"/>
      <c r="K76" s="742"/>
      <c r="L76" s="742"/>
      <c r="M76" s="742"/>
      <c r="N76" s="742"/>
      <c r="O76" s="742"/>
      <c r="P76" s="742"/>
      <c r="Q76" s="742"/>
      <c r="R76" s="742"/>
    </row>
    <row r="77" spans="1:38" ht="15.75" customHeight="1" x14ac:dyDescent="0.2">
      <c r="B77" s="742"/>
      <c r="C77" s="742"/>
      <c r="D77" s="742"/>
      <c r="E77" s="742"/>
      <c r="F77" s="742"/>
      <c r="G77" s="742"/>
      <c r="H77" s="742"/>
      <c r="I77" s="742"/>
      <c r="J77" s="742"/>
      <c r="K77" s="742"/>
      <c r="L77" s="742"/>
      <c r="M77" s="742"/>
      <c r="N77" s="742"/>
      <c r="O77" s="742"/>
      <c r="P77" s="742"/>
      <c r="Q77" s="742"/>
      <c r="R77" s="742"/>
    </row>
    <row r="78" spans="1:38" ht="15.75" customHeight="1" x14ac:dyDescent="0.2">
      <c r="B78" s="742"/>
      <c r="C78" s="742"/>
      <c r="D78" s="742"/>
      <c r="E78" s="742"/>
      <c r="F78" s="742"/>
      <c r="G78" s="742"/>
      <c r="H78" s="742"/>
      <c r="I78" s="742"/>
      <c r="J78" s="742"/>
      <c r="K78" s="742"/>
      <c r="L78" s="742"/>
      <c r="M78" s="742"/>
      <c r="N78" s="742"/>
      <c r="O78" s="742"/>
      <c r="P78" s="742"/>
      <c r="Q78" s="742"/>
      <c r="R78" s="742"/>
    </row>
    <row r="79" spans="1:38" ht="15.75" customHeight="1" x14ac:dyDescent="0.2">
      <c r="R79"/>
    </row>
    <row r="80" spans="1:38" ht="15.75" customHeight="1" x14ac:dyDescent="0.2">
      <c r="C80" s="433" t="str">
        <f>IF(Francais,
"Si vous achetez de Regent Instruments, vous acceptez ce qui suit: ",
"If you purchase from Regent Instruments, you agree to the following: "
)</f>
        <v xml:space="preserve">If you purchase from Regent Instruments, you agree to the following: </v>
      </c>
      <c r="R80"/>
    </row>
    <row r="81" spans="3:18" ht="15.75" customHeight="1" x14ac:dyDescent="0.25">
      <c r="C81" s="432" t="s">
        <v>165</v>
      </c>
      <c r="D81" s="738" t="str">
        <f>IF(Francais,"Toutes les ventes sont finales et non remboursables. Le vendeur prend le temps de répondre aux questions de l'acheteur et de vérifier que ses produits répondent aux besoins de l'acheteur avant la vente.",
"All sales are final, non refundable. Seller takes the time to answer purchaser's questions and to verify that its products fulfill purchaser's needs prior to selling."
)</f>
        <v>All sales are final, non refundable. Seller takes the time to answer purchaser's questions and to verify that its products fulfill purchaser's needs prior to selling.</v>
      </c>
      <c r="E81" s="738"/>
      <c r="F81" s="738"/>
      <c r="G81" s="738"/>
      <c r="H81" s="738"/>
      <c r="I81" s="738"/>
      <c r="J81" s="738"/>
      <c r="K81" s="738"/>
      <c r="L81" s="738"/>
      <c r="M81" s="738"/>
      <c r="N81" s="738"/>
      <c r="O81" s="738"/>
      <c r="P81" s="738"/>
      <c r="Q81" s="738"/>
      <c r="R81" s="738"/>
    </row>
    <row r="82" spans="3:18" ht="15.75" customHeight="1" x14ac:dyDescent="0.2">
      <c r="D82" s="738"/>
      <c r="E82" s="738"/>
      <c r="F82" s="738"/>
      <c r="G82" s="738"/>
      <c r="H82" s="738"/>
      <c r="I82" s="738"/>
      <c r="J82" s="738"/>
      <c r="K82" s="738"/>
      <c r="L82" s="738"/>
      <c r="M82" s="738"/>
      <c r="N82" s="738"/>
      <c r="O82" s="738"/>
      <c r="P82" s="738"/>
      <c r="Q82" s="738"/>
      <c r="R82" s="738"/>
    </row>
    <row r="83" spans="3:18" ht="15.75" customHeight="1" x14ac:dyDescent="0.25">
      <c r="C83" s="432" t="s">
        <v>165</v>
      </c>
      <c r="D83" s="738" t="str">
        <f>IF(Francais,"L'acheteur paie les frais d'expédition et extras (frais de douane et de dédouanement, taxes locales...) non facturés par le vendeur, même à des fins de garantie. " &amp; "Il n'y a pas de taxes ou de frais canadiens sur les produits exportés.",
"Buyer pays for shipping and extra fees (customs and clearance fees, his local taxes...) not charged by seller, even for warranty purposes. There are no Canadian taxes or fees on exported goods.")</f>
        <v>Buyer pays for shipping and extra fees (customs and clearance fees, his local taxes...) not charged by seller, even for warranty purposes. There are no Canadian taxes or fees on exported goods.</v>
      </c>
      <c r="E83" s="738"/>
      <c r="F83" s="738"/>
      <c r="G83" s="738"/>
      <c r="H83" s="738"/>
      <c r="I83" s="738"/>
      <c r="J83" s="738"/>
      <c r="K83" s="738"/>
      <c r="L83" s="738"/>
      <c r="M83" s="738"/>
      <c r="N83" s="738"/>
      <c r="O83" s="738"/>
      <c r="P83" s="738"/>
      <c r="Q83" s="738"/>
      <c r="R83" s="738"/>
    </row>
    <row r="84" spans="3:18" ht="15.75" customHeight="1" x14ac:dyDescent="0.2">
      <c r="D84" s="738"/>
      <c r="E84" s="738"/>
      <c r="F84" s="738"/>
      <c r="G84" s="738"/>
      <c r="H84" s="738"/>
      <c r="I84" s="738"/>
      <c r="J84" s="738"/>
      <c r="K84" s="738"/>
      <c r="L84" s="738"/>
      <c r="M84" s="738"/>
      <c r="N84" s="738"/>
      <c r="O84" s="738"/>
      <c r="P84" s="738"/>
      <c r="Q84" s="738"/>
      <c r="R84" s="738"/>
    </row>
    <row r="85" spans="3:18" ht="15.75" customHeight="1" x14ac:dyDescent="0.25">
      <c r="C85" s="432" t="s">
        <v>165</v>
      </c>
      <c r="D85" s="738" t="str">
        <f>IF(Francais,"Les lois applicables sont celles de l'emplacement du vendeur (Canada, province de Québec) où tout le travail est effectué par les employés de Regent Instruments. " &amp; "Aucun travail n'est effectué dans les locaux ou pays de l'acheteur (par exemple, installation, formation, vente...) et le vendeur n'a pas d'employé, de bureau ou d'entreprise sur place.",
"Applicable laws are those of seller's location (Canada, Quebec Province) where all work is done by Regent Instruments' employees. "&amp;"No work is done on buyer's premises or country (e.g. installation, training, selling...) and seller has no employee, office or company there.")</f>
        <v>Applicable laws are those of seller's location (Canada, Quebec Province) where all work is done by Regent Instruments' employees. No work is done on buyer's premises or country (e.g. installation, training, selling...) and seller has no employee, office or company there.</v>
      </c>
      <c r="E85" s="738"/>
      <c r="F85" s="738"/>
      <c r="G85" s="738"/>
      <c r="H85" s="738"/>
      <c r="I85" s="738"/>
      <c r="J85" s="738"/>
      <c r="K85" s="738"/>
      <c r="L85" s="738"/>
      <c r="M85" s="738"/>
      <c r="N85" s="738"/>
      <c r="O85" s="738"/>
      <c r="P85" s="738"/>
      <c r="Q85" s="738"/>
      <c r="R85" s="738"/>
    </row>
    <row r="86" spans="3:18" ht="15.75" customHeight="1" x14ac:dyDescent="0.2">
      <c r="D86" s="738"/>
      <c r="E86" s="738"/>
      <c r="F86" s="738"/>
      <c r="G86" s="738"/>
      <c r="H86" s="738"/>
      <c r="I86" s="738"/>
      <c r="J86" s="738"/>
      <c r="K86" s="738"/>
      <c r="L86" s="738"/>
      <c r="M86" s="738"/>
      <c r="N86" s="738"/>
      <c r="O86" s="738"/>
      <c r="P86" s="738"/>
      <c r="Q86" s="738"/>
      <c r="R86" s="738"/>
    </row>
    <row r="87" spans="3:18" ht="15.75" customHeight="1" x14ac:dyDescent="0.2">
      <c r="D87" s="738"/>
      <c r="E87" s="738"/>
      <c r="F87" s="738"/>
      <c r="G87" s="738"/>
      <c r="H87" s="738"/>
      <c r="I87" s="738"/>
      <c r="J87" s="738"/>
      <c r="K87" s="738"/>
      <c r="L87" s="738"/>
      <c r="M87" s="738"/>
      <c r="N87" s="738"/>
      <c r="O87" s="738"/>
      <c r="P87" s="738"/>
      <c r="Q87" s="738"/>
      <c r="R87" s="738"/>
    </row>
    <row r="88" spans="3:18" ht="15.75" customHeight="1" x14ac:dyDescent="0.25">
      <c r="C88" s="432" t="s">
        <v>165</v>
      </c>
      <c r="D88" s="738" t="str">
        <f>IF(Francais,"Le vendeur ne modifie pas son contrat de licence de logiciel.","Seller does not modify his software licence agreement.")</f>
        <v>Seller does not modify his software licence agreement.</v>
      </c>
      <c r="E88" s="738"/>
      <c r="F88" s="738"/>
      <c r="G88" s="738"/>
      <c r="H88" s="738"/>
      <c r="I88" s="738"/>
      <c r="J88" s="738"/>
      <c r="K88" s="738"/>
      <c r="L88" s="738"/>
      <c r="M88" s="738"/>
      <c r="N88" s="738"/>
      <c r="O88" s="738"/>
      <c r="P88" s="738"/>
      <c r="Q88" s="738"/>
      <c r="R88" s="738"/>
    </row>
    <row r="89" spans="3:18" ht="15.75" customHeight="1" x14ac:dyDescent="0.25">
      <c r="C89" s="432" t="s">
        <v>165</v>
      </c>
      <c r="D89" s="738" t="str">
        <f>IF(Francais,"Tout l'équipement fabriqué par Regent Instruments a été inspecté, testé et emballé avec soin. " &amp; "Il est garanti, pièces et main d'oeuvre, pour 12 mois (sauf les plats garantis 30 jours) à compter de la date d'expédition contre les défauts de fabrication à partir du point de vente. " &amp; "Cette garantie ne couvre pas l'usure, la négligence, la mauvaise utilisation, les accidents, la détérioration excessive ou les dommages causés par des réparations non autorisées.",
"All equipment manufactured by Regent Instruments has been inspected, tested and carefully packed. " &amp; "It is guaranteed, parts and labor, for 12 months (except for trays which is 30 days) from the date of shipment against manufacturing defects from the point of sale. " &amp; "This guarantee does not cover wear and tear, neglect, misuse, accidents, excessive deterioration or damage caused by unauthorized repair.")
&amp; IF(Francais,
" Contact pour garantie, RMA ou problèmes de réparation:",
" Contact for warranty, RMA or repair issues:"
) &amp; " sales@regentinstruments.com"</f>
        <v>All equipment manufactured by Regent Instruments has been inspected, tested and carefully packed. It is guaranteed, parts and labor, for 12 months (except for trays which is 30 days) from the date of shipment against manufacturing defects from the point of sale. This guarantee does not cover wear and tear, neglect, misuse, accidents, excessive deterioration or damage caused by unauthorized repair. Contact for warranty, RMA or repair issues: sales@regentinstruments.com</v>
      </c>
      <c r="E89" s="738"/>
      <c r="F89" s="738"/>
      <c r="G89" s="738"/>
      <c r="H89" s="738"/>
      <c r="I89" s="738"/>
      <c r="J89" s="738"/>
      <c r="K89" s="738"/>
      <c r="L89" s="738"/>
      <c r="M89" s="738"/>
      <c r="N89" s="738"/>
      <c r="O89" s="738"/>
      <c r="P89" s="738"/>
      <c r="Q89" s="738"/>
      <c r="R89" s="738"/>
    </row>
    <row r="90" spans="3:18" ht="15.75" customHeight="1" x14ac:dyDescent="0.2">
      <c r="D90" s="738"/>
      <c r="E90" s="738"/>
      <c r="F90" s="738"/>
      <c r="G90" s="738"/>
      <c r="H90" s="738"/>
      <c r="I90" s="738"/>
      <c r="J90" s="738"/>
      <c r="K90" s="738"/>
      <c r="L90" s="738"/>
      <c r="M90" s="738"/>
      <c r="N90" s="738"/>
      <c r="O90" s="738"/>
      <c r="P90" s="738"/>
      <c r="Q90" s="738"/>
      <c r="R90" s="738"/>
    </row>
    <row r="91" spans="3:18" ht="15.75" customHeight="1" x14ac:dyDescent="0.2">
      <c r="D91" s="738"/>
      <c r="E91" s="738"/>
      <c r="F91" s="738"/>
      <c r="G91" s="738"/>
      <c r="H91" s="738"/>
      <c r="I91" s="738"/>
      <c r="J91" s="738"/>
      <c r="K91" s="738"/>
      <c r="L91" s="738"/>
      <c r="M91" s="738"/>
      <c r="N91" s="738"/>
      <c r="O91" s="738"/>
      <c r="P91" s="738"/>
      <c r="Q91" s="738"/>
      <c r="R91" s="738"/>
    </row>
    <row r="92" spans="3:18" ht="15.75" customHeight="1" x14ac:dyDescent="0.2">
      <c r="D92" s="738"/>
      <c r="E92" s="738"/>
      <c r="F92" s="738"/>
      <c r="G92" s="738"/>
      <c r="H92" s="738"/>
      <c r="I92" s="738"/>
      <c r="J92" s="738"/>
      <c r="K92" s="738"/>
      <c r="L92" s="738"/>
      <c r="M92" s="738"/>
      <c r="N92" s="738"/>
      <c r="O92" s="738"/>
      <c r="P92" s="738"/>
      <c r="Q92" s="738"/>
      <c r="R92" s="738"/>
    </row>
    <row r="93" spans="3:18" ht="15.75" customHeight="1" x14ac:dyDescent="0.2">
      <c r="D93" s="738"/>
      <c r="E93" s="738"/>
      <c r="F93" s="738"/>
      <c r="G93" s="738"/>
      <c r="H93" s="738"/>
      <c r="I93" s="738"/>
      <c r="J93" s="738"/>
      <c r="K93" s="738"/>
      <c r="L93" s="738"/>
      <c r="M93" s="738"/>
      <c r="N93" s="738"/>
      <c r="O93" s="738"/>
      <c r="P93" s="738"/>
      <c r="Q93" s="738"/>
      <c r="R93" s="738"/>
    </row>
    <row r="94" spans="3:18" ht="15.75" customHeight="1" x14ac:dyDescent="0.25">
      <c r="C94" s="432" t="s">
        <v>165</v>
      </c>
      <c r="D94" s="738" t="str">
        <f>IF(Francais,"Toutes les commandes internationales (hors Canada) doivent être prépayées (même prix pour les cartes de crédit ou les virements bancaires)." &amp; "Les prix indiqués ne sont PAS valables pour les clients qui nécessitent la lecture, l'approbation ou la négociation " &amp; "de contrats d'achat complexes ou de conditions générales de vente. Compte tenu de la charge de travail que représente ce processus, le vendeur ne l'effectuera que pour les ventes de 100 000$ ou plus.",
"All international orders (outside Canada) must be pre-paid (same price for credit cards or wire transfer). Quoted prices are NOT valid for customers who require the reading, approving or negotiating " &amp; "of complex purchasing contracts or terms and conditions. Given the work involved in going through this process, the seller will do it only for sales of 100 000$ or more."
)</f>
        <v>All international orders (outside Canada) must be pre-paid (same price for credit cards or wire transfer). Quoted prices are NOT valid for customers who require the reading, approving or negotiating of complex purchasing contracts or terms and conditions. Given the work involved in going through this process, the seller will do it only for sales of 100 000$ or more.</v>
      </c>
      <c r="E94" s="738"/>
      <c r="F94" s="738"/>
      <c r="G94" s="738"/>
      <c r="H94" s="738"/>
      <c r="I94" s="738"/>
      <c r="J94" s="738"/>
      <c r="K94" s="738"/>
      <c r="L94" s="738"/>
      <c r="M94" s="738"/>
      <c r="N94" s="738"/>
      <c r="O94" s="738"/>
      <c r="P94" s="738"/>
      <c r="Q94" s="738"/>
      <c r="R94" s="738"/>
    </row>
    <row r="95" spans="3:18" ht="15.75" customHeight="1" x14ac:dyDescent="0.2">
      <c r="D95" s="738"/>
      <c r="E95" s="738"/>
      <c r="F95" s="738"/>
      <c r="G95" s="738"/>
      <c r="H95" s="738"/>
      <c r="I95" s="738"/>
      <c r="J95" s="738"/>
      <c r="K95" s="738"/>
      <c r="L95" s="738"/>
      <c r="M95" s="738"/>
      <c r="N95" s="738"/>
      <c r="O95" s="738"/>
      <c r="P95" s="738"/>
      <c r="Q95" s="738"/>
      <c r="R95" s="738"/>
    </row>
    <row r="96" spans="3:18" ht="15.75" customHeight="1" x14ac:dyDescent="0.2">
      <c r="D96" s="738"/>
      <c r="E96" s="738"/>
      <c r="F96" s="738"/>
      <c r="G96" s="738"/>
      <c r="H96" s="738"/>
      <c r="I96" s="738"/>
      <c r="J96" s="738"/>
      <c r="K96" s="738"/>
      <c r="L96" s="738"/>
      <c r="M96" s="738"/>
      <c r="N96" s="738"/>
      <c r="O96" s="738"/>
      <c r="P96" s="738"/>
      <c r="Q96" s="738"/>
      <c r="R96" s="738"/>
    </row>
    <row r="97" spans="2:18" ht="15.75" customHeight="1" x14ac:dyDescent="0.2">
      <c r="D97" s="738"/>
      <c r="E97" s="738"/>
      <c r="F97" s="738"/>
      <c r="G97" s="738"/>
      <c r="H97" s="738"/>
      <c r="I97" s="738"/>
      <c r="J97" s="738"/>
      <c r="K97" s="738"/>
      <c r="L97" s="738"/>
      <c r="M97" s="738"/>
      <c r="N97" s="738"/>
      <c r="O97" s="738"/>
      <c r="P97" s="738"/>
      <c r="Q97" s="738"/>
      <c r="R97" s="738"/>
    </row>
    <row r="98" spans="2:18" ht="15.75" customHeight="1" x14ac:dyDescent="0.25">
      <c r="C98" s="432" t="s">
        <v>165</v>
      </c>
      <c r="D98" s="738" t="str">
        <f>IF(Francais,"Le vendeur ne s'enregistre pas comme vendeur pour les ventes sous 100 000$. "&amp;"Toutes l'information nécessaires pour un virement bancaire est sur nos devis et factures et le paiement par carte de crédit est une alternative efficace et facile.","Seller does not register as a vendor for sales below 100 000$. All information required to make wire transfer are on our Quotes and Invoices and credit card payment is an efficient and easy alternative.")</f>
        <v>Seller does not register as a vendor for sales below 100 000$. All information required to make wire transfer are on our Quotes and Invoices and credit card payment is an efficient and easy alternative.</v>
      </c>
      <c r="E98" s="738"/>
      <c r="F98" s="738"/>
      <c r="G98" s="738"/>
      <c r="H98" s="738"/>
      <c r="I98" s="738"/>
      <c r="J98" s="738"/>
      <c r="K98" s="738"/>
      <c r="L98" s="738"/>
      <c r="M98" s="738"/>
      <c r="N98" s="738"/>
      <c r="O98" s="738"/>
      <c r="P98" s="738"/>
      <c r="Q98" s="738"/>
      <c r="R98" s="738"/>
    </row>
    <row r="99" spans="2:18" ht="15.75" customHeight="1" x14ac:dyDescent="0.2">
      <c r="D99" s="738"/>
      <c r="E99" s="738"/>
      <c r="F99" s="738"/>
      <c r="G99" s="738"/>
      <c r="H99" s="738"/>
      <c r="I99" s="738"/>
      <c r="J99" s="738"/>
      <c r="K99" s="738"/>
      <c r="L99" s="738"/>
      <c r="M99" s="738"/>
      <c r="N99" s="738"/>
      <c r="O99" s="738"/>
      <c r="P99" s="738"/>
      <c r="Q99" s="738"/>
      <c r="R99" s="738"/>
    </row>
    <row r="100" spans="2:18" ht="15.75" customHeight="1" x14ac:dyDescent="0.25">
      <c r="C100" s="432" t="s">
        <v>165</v>
      </c>
      <c r="D100" s="764" t="str">
        <f>IF(Francais,"Les termes et conditions du vendeur prévalent en cas de conflit avec ceux de l'acheteur.",
"Seller's terms and conditions prevail in case of conflicts with buyer's.")</f>
        <v>Seller's terms and conditions prevail in case of conflicts with buyer's.</v>
      </c>
      <c r="E100" s="764"/>
      <c r="F100" s="764"/>
      <c r="G100" s="764"/>
      <c r="H100" s="764"/>
      <c r="I100" s="764"/>
      <c r="J100" s="764"/>
      <c r="K100" s="764"/>
      <c r="L100" s="764"/>
      <c r="M100" s="764"/>
      <c r="N100" s="764"/>
      <c r="O100" s="764"/>
      <c r="P100" s="764"/>
      <c r="Q100" s="764"/>
      <c r="R100" s="764"/>
    </row>
    <row r="101" spans="2:18" ht="15.75" customHeight="1" x14ac:dyDescent="0.2"/>
    <row r="102" spans="2:18" ht="15.75" customHeight="1" x14ac:dyDescent="0.2">
      <c r="C102" s="706" t="s">
        <v>767</v>
      </c>
      <c r="D102" s="763" t="str">
        <f>IF(Francais, "Nous n'avons qu'une seule liste de prix, disponible en 3 devises ($Can, USD et €) pour les clients du monde entier. " &amp;
"Notez qu'il y a des pays où nous ne pouvons pas expédier en raison des exigences des autorités locales (p.ex.  Certificat d'Origine, documents authentifiés...) ou des restrictions canadiennes à l'exportation. En cas de doute, contactez-nous. " &amp; "
Si vous achetez auprès d'un distributeur, le prix peut être plus élevé pour tenir compte du travail supplémentaire à fournir, p. ex :",
"We only have one price list, available in 3 currencies ($Can, USD and €) for worldwide customers. " &amp; "Note that there are countries we cannot ship to due to local authorities requirements (e.g. Certificate of Origin, authenticated documents...) or Canadian exports restrictions. If unsure, contact us. " &amp; "
If you buy from a distributor, the price might be higher to account for extra work they might provide such as:")</f>
        <v>We only have one price list, available in 3 currencies ($Can, USD and €) for worldwide customers. Note that there are countries we cannot ship to due to local authorities requirements (e.g. Certificate of Origin, authenticated documents...) or Canadian exports restrictions. If unsure, contact us. 
If you buy from a distributor, the price might be higher to account for extra work they might provide such as:</v>
      </c>
      <c r="E102" s="763"/>
      <c r="F102" s="763"/>
      <c r="G102" s="763"/>
      <c r="H102" s="763"/>
      <c r="I102" s="763"/>
      <c r="J102" s="763"/>
      <c r="K102" s="763"/>
      <c r="L102" s="763"/>
      <c r="M102" s="763"/>
      <c r="N102" s="763"/>
      <c r="O102" s="763"/>
      <c r="P102" s="763"/>
      <c r="Q102" s="763"/>
      <c r="R102" s="763"/>
    </row>
    <row r="103" spans="2:18" ht="15.75" customHeight="1" x14ac:dyDescent="0.2">
      <c r="B103"/>
      <c r="D103" s="763"/>
      <c r="E103" s="763"/>
      <c r="F103" s="763"/>
      <c r="G103" s="763"/>
      <c r="H103" s="763"/>
      <c r="I103" s="763"/>
      <c r="J103" s="763"/>
      <c r="K103" s="763"/>
      <c r="L103" s="763"/>
      <c r="M103" s="763"/>
      <c r="N103" s="763"/>
      <c r="O103" s="763"/>
      <c r="P103" s="763"/>
      <c r="Q103" s="763"/>
      <c r="R103" s="763"/>
    </row>
    <row r="104" spans="2:18" ht="15.75" customHeight="1" x14ac:dyDescent="0.2">
      <c r="D104" s="763"/>
      <c r="E104" s="763"/>
      <c r="F104" s="763"/>
      <c r="G104" s="763"/>
      <c r="H104" s="763"/>
      <c r="I104" s="763"/>
      <c r="J104" s="763"/>
      <c r="K104" s="763"/>
      <c r="L104" s="763"/>
      <c r="M104" s="763"/>
      <c r="N104" s="763"/>
      <c r="O104" s="763"/>
      <c r="P104" s="763"/>
      <c r="Q104" s="763"/>
      <c r="R104" s="763"/>
    </row>
    <row r="105" spans="2:18" ht="15.75" customHeight="1" x14ac:dyDescent="0.2">
      <c r="D105" s="763"/>
      <c r="E105" s="763"/>
      <c r="F105" s="763"/>
      <c r="G105" s="763"/>
      <c r="H105" s="763"/>
      <c r="I105" s="763"/>
      <c r="J105" s="763"/>
      <c r="K105" s="763"/>
      <c r="L105" s="763"/>
      <c r="M105" s="763"/>
      <c r="N105" s="763"/>
      <c r="O105" s="763"/>
      <c r="P105" s="763"/>
      <c r="Q105" s="763"/>
      <c r="R105" s="763"/>
    </row>
    <row r="106" spans="2:18" ht="15.75" customHeight="1" x14ac:dyDescent="0.2">
      <c r="D106" s="765" t="str">
        <f>IF(Francais," • Financement pour les clients qui paient après la livraison.
 • Production des documents d'importation (certificats, 
     dédouanement...).
 • Paiement des frais de douane et de dédouanement d'importation." &amp; "
 • S'inscrire en tant que vendeur dans le système d'achat des clients."," • Financing for customers that pay after delivery.
 • Producing import documents (certificates, customs clearance...).
 • Paying customs fees and import clearance fees." &amp; "
 • Register as a seller on the customer purchasing system.")</f>
        <v xml:space="preserve"> • Financing for customers that pay after delivery.
 • Producing import documents (certificates, customs clearance...).
 • Paying customs fees and import clearance fees.
 • Register as a seller on the customer purchasing system.</v>
      </c>
      <c r="E106" s="765"/>
      <c r="F106" s="765"/>
      <c r="G106" s="765"/>
      <c r="H106" s="765"/>
      <c r="I106" s="765"/>
      <c r="J106" s="765"/>
      <c r="K106" s="765"/>
      <c r="L106" s="765" t="str">
        <f>IF(Francais," • Signer des contrats légaux et respecter les lois locales.
 • Soumission d'offres.
 • Traduction de documents (avant ou après la vente).
 • Effectuer l'installation et/ou entraînement sur place.
 • Payer les taxes locales (TVA...)."," • Sign legal contracts and follow local laws.
 • Bidding.
 • Translation of documents (pre or post sale).
 • Do on-site installation and/or training.
 • Pay local taxes (VAT...).")</f>
        <v xml:space="preserve"> • Sign legal contracts and follow local laws.
 • Bidding.
 • Translation of documents (pre or post sale).
 • Do on-site installation and/or training.
 • Pay local taxes (VAT...).</v>
      </c>
      <c r="M106" s="765"/>
      <c r="N106" s="765"/>
      <c r="O106" s="765"/>
      <c r="P106" s="765"/>
      <c r="Q106" s="765"/>
      <c r="R106" s="765"/>
    </row>
    <row r="107" spans="2:18" ht="15.75" customHeight="1" x14ac:dyDescent="0.2">
      <c r="D107" s="765"/>
      <c r="E107" s="765"/>
      <c r="F107" s="765"/>
      <c r="G107" s="765"/>
      <c r="H107" s="765"/>
      <c r="I107" s="765"/>
      <c r="J107" s="765"/>
      <c r="K107" s="765"/>
      <c r="L107" s="765"/>
      <c r="M107" s="765"/>
      <c r="N107" s="765"/>
      <c r="O107" s="765"/>
      <c r="P107" s="765"/>
      <c r="Q107" s="765"/>
      <c r="R107" s="765"/>
    </row>
    <row r="108" spans="2:18" ht="15.75" customHeight="1" x14ac:dyDescent="0.2">
      <c r="D108" s="765"/>
      <c r="E108" s="765"/>
      <c r="F108" s="765"/>
      <c r="G108" s="765"/>
      <c r="H108" s="765"/>
      <c r="I108" s="765"/>
      <c r="J108" s="765"/>
      <c r="K108" s="765"/>
      <c r="L108" s="765"/>
      <c r="M108" s="765"/>
      <c r="N108" s="765"/>
      <c r="O108" s="765"/>
      <c r="P108" s="765"/>
      <c r="Q108" s="765"/>
      <c r="R108" s="765"/>
    </row>
    <row r="109" spans="2:18" ht="15.75" customHeight="1" x14ac:dyDescent="0.2">
      <c r="D109" s="765"/>
      <c r="E109" s="765"/>
      <c r="F109" s="765"/>
      <c r="G109" s="765"/>
      <c r="H109" s="765"/>
      <c r="I109" s="765"/>
      <c r="J109" s="765"/>
      <c r="K109" s="765"/>
      <c r="L109" s="765"/>
      <c r="M109" s="765"/>
      <c r="N109" s="765"/>
      <c r="O109" s="765"/>
      <c r="P109" s="765"/>
      <c r="Q109" s="765"/>
      <c r="R109" s="765"/>
    </row>
    <row r="110" spans="2:18" ht="15.75" customHeight="1" x14ac:dyDescent="0.2">
      <c r="C110" s="706" t="s">
        <v>768</v>
      </c>
      <c r="D110" s="763" t="str">
        <f>IF(Francais,"Notre liste de prix permet de diviser une commande en deux commandes différentes, chacune avec son propre numéro de facture, afin que les prix soient plus bas (ce qui peut simplifier la procédure d'achat en dessous d'un certain montant). "  &amp; "Une facture contient les logiciels (qui peuvent être téléchargés ou expédiés par transporteur) et l'autre, le matériel. "  &amp; "Le fait de ne pas payer l'assurance du logiciel par le transporteur réduit les frais d'expédition. " &amp;
IF(Checkbox_WithScan,"Voir les cases à cocher ""Split in 2 Invoices"" &amp; ""Internet Download"" sur l'onglet Quote.",
"Voir la case à cocher ""Split in 2 Invoices"" sur l'onglet Quote."),
"Our price list allows to split an order in two different orders, each with their own invoice number, so that prices are lower (which can simplify the purchasing procedure when below a certain amount). " &amp; "One invoice contains software items (which can be downloaded or shipped by carrier) and the other, hardware. " &amp; "Not paying to insure the software by the carrier reduces shipping costs. " &amp;
IF(Checkbox_WithScan,"See the ""Split in 2 Invoices"" &amp; ""Internet Download"" check boxes on the Quote sheet.","See the ""Split in 2 Invoices"" check box on the Quote sheet."))</f>
        <v>Our price list allows to split an order in two different orders, each with their own invoice number, so that prices are lower (which can simplify the purchasing procedure when below a certain amount). One invoice contains software items (which can be downloaded or shipped by carrier) and the other, hardware. Not paying to insure the software by the carrier reduces shipping costs. See the "Split in 2 Invoices" &amp; "Internet Download" check boxes on the Quote sheet.</v>
      </c>
      <c r="E110" s="763"/>
      <c r="F110" s="763"/>
      <c r="G110" s="763"/>
      <c r="H110" s="763"/>
      <c r="I110" s="763"/>
      <c r="J110" s="763"/>
      <c r="K110" s="763"/>
      <c r="L110" s="763"/>
      <c r="M110" s="763"/>
      <c r="N110" s="763"/>
      <c r="O110" s="763"/>
      <c r="P110" s="763"/>
      <c r="Q110" s="763"/>
      <c r="R110" s="763"/>
    </row>
    <row r="111" spans="2:18" ht="15.75" customHeight="1" x14ac:dyDescent="0.2">
      <c r="D111" s="763"/>
      <c r="E111" s="763"/>
      <c r="F111" s="763"/>
      <c r="G111" s="763"/>
      <c r="H111" s="763"/>
      <c r="I111" s="763"/>
      <c r="J111" s="763"/>
      <c r="K111" s="763"/>
      <c r="L111" s="763"/>
      <c r="M111" s="763"/>
      <c r="N111" s="763"/>
      <c r="O111" s="763"/>
      <c r="P111" s="763"/>
      <c r="Q111" s="763"/>
      <c r="R111" s="763"/>
    </row>
    <row r="112" spans="2:18" ht="15.75" customHeight="1" x14ac:dyDescent="0.2">
      <c r="D112" s="763"/>
      <c r="E112" s="763"/>
      <c r="F112" s="763"/>
      <c r="G112" s="763"/>
      <c r="H112" s="763"/>
      <c r="I112" s="763"/>
      <c r="J112" s="763"/>
      <c r="K112" s="763"/>
      <c r="L112" s="763"/>
      <c r="M112" s="763"/>
      <c r="N112" s="763"/>
      <c r="O112" s="763"/>
      <c r="P112" s="763"/>
      <c r="Q112" s="763"/>
      <c r="R112" s="763"/>
    </row>
    <row r="113" spans="4:18" ht="15.75" customHeight="1" x14ac:dyDescent="0.2">
      <c r="D113" s="763"/>
      <c r="E113" s="763"/>
      <c r="F113" s="763"/>
      <c r="G113" s="763"/>
      <c r="H113" s="763"/>
      <c r="I113" s="763"/>
      <c r="J113" s="763"/>
      <c r="K113" s="763"/>
      <c r="L113" s="763"/>
      <c r="M113" s="763"/>
      <c r="N113" s="763"/>
      <c r="O113" s="763"/>
      <c r="P113" s="763"/>
      <c r="Q113" s="763"/>
      <c r="R113" s="763"/>
    </row>
    <row r="114" spans="4:18" ht="15.75" customHeight="1" x14ac:dyDescent="0.2">
      <c r="D114" s="763"/>
      <c r="E114" s="763"/>
      <c r="F114" s="763"/>
      <c r="G114" s="763"/>
      <c r="H114" s="763"/>
      <c r="I114" s="763"/>
      <c r="J114" s="763"/>
      <c r="K114" s="763"/>
      <c r="L114" s="763"/>
      <c r="M114" s="763"/>
      <c r="N114" s="763"/>
      <c r="O114" s="763"/>
      <c r="P114" s="763"/>
      <c r="Q114" s="763"/>
      <c r="R114" s="763"/>
    </row>
    <row r="115" spans="4:18" ht="15.75" customHeight="1" x14ac:dyDescent="0.2">
      <c r="D115" s="707"/>
      <c r="E115" s="707"/>
      <c r="F115" s="707"/>
      <c r="G115" s="707"/>
      <c r="H115" s="707"/>
      <c r="I115" s="707"/>
      <c r="J115" s="707"/>
      <c r="K115" s="707"/>
      <c r="L115" s="707"/>
      <c r="M115" s="707"/>
      <c r="N115" s="707"/>
      <c r="O115" s="707"/>
      <c r="P115" s="707"/>
      <c r="Q115" s="707"/>
      <c r="R115" s="707"/>
    </row>
    <row r="116" spans="4:18" ht="15.75" customHeight="1" x14ac:dyDescent="0.2">
      <c r="D116" s="707"/>
      <c r="E116" s="707"/>
      <c r="F116" s="707"/>
      <c r="G116" s="707"/>
      <c r="H116" s="707"/>
      <c r="I116" s="707"/>
      <c r="J116" s="707"/>
      <c r="K116" s="707"/>
      <c r="L116" s="707"/>
      <c r="M116" s="707"/>
      <c r="N116" s="707"/>
      <c r="O116" s="707"/>
      <c r="P116" s="707"/>
      <c r="Q116" s="707"/>
      <c r="R116" s="707"/>
    </row>
  </sheetData>
  <sheetProtection algorithmName="SHA-512" hashValue="vljXVbRfwN3GZkfaMSCvREkj6Ofyw044c2FuZdSx8a72cOrNkS11xuSCXk3KggGhWLmeprtbsP8MYBoUuPSrjw==" saltValue="FufOh7KM7jKyXvJP+jLLRQ==" spinCount="100000" sheet="1" objects="1" scenarios="1" selectLockedCells="1"/>
  <mergeCells count="250">
    <mergeCell ref="D110:R114"/>
    <mergeCell ref="N62:R63"/>
    <mergeCell ref="AG62:AK63"/>
    <mergeCell ref="D100:R100"/>
    <mergeCell ref="D81:R82"/>
    <mergeCell ref="D98:R99"/>
    <mergeCell ref="D102:R105"/>
    <mergeCell ref="D88:R88"/>
    <mergeCell ref="D94:R97"/>
    <mergeCell ref="D106:K109"/>
    <mergeCell ref="L106:R109"/>
    <mergeCell ref="E46:N46"/>
    <mergeCell ref="O46:P46"/>
    <mergeCell ref="E47:N47"/>
    <mergeCell ref="O47:P47"/>
    <mergeCell ref="X47:AG47"/>
    <mergeCell ref="O50:P50"/>
    <mergeCell ref="D89:R93"/>
    <mergeCell ref="D83:R84"/>
    <mergeCell ref="D85:R87"/>
    <mergeCell ref="O51:P51"/>
    <mergeCell ref="X51:AG51"/>
    <mergeCell ref="O54:P54"/>
    <mergeCell ref="Y54:AG54"/>
    <mergeCell ref="E52:N52"/>
    <mergeCell ref="O52:P52"/>
    <mergeCell ref="X52:AG52"/>
    <mergeCell ref="X50:AG50"/>
    <mergeCell ref="AH54:AI54"/>
    <mergeCell ref="AH52:AI52"/>
    <mergeCell ref="E53:N53"/>
    <mergeCell ref="O53:P53"/>
    <mergeCell ref="X53:AG53"/>
    <mergeCell ref="AH53:AI53"/>
    <mergeCell ref="E54:N54"/>
    <mergeCell ref="AH51:AI51"/>
    <mergeCell ref="E51:N51"/>
    <mergeCell ref="AH47:AI47"/>
    <mergeCell ref="AH40:AI40"/>
    <mergeCell ref="E41:N41"/>
    <mergeCell ref="O41:P41"/>
    <mergeCell ref="X41:AG41"/>
    <mergeCell ref="AH41:AI41"/>
    <mergeCell ref="E42:N42"/>
    <mergeCell ref="O42:P42"/>
    <mergeCell ref="X42:AG42"/>
    <mergeCell ref="AH42:AI42"/>
    <mergeCell ref="E43:N43"/>
    <mergeCell ref="O43:P43"/>
    <mergeCell ref="X43:AG43"/>
    <mergeCell ref="AH43:AI43"/>
    <mergeCell ref="E44:N44"/>
    <mergeCell ref="O44:P44"/>
    <mergeCell ref="X44:AG44"/>
    <mergeCell ref="X46:AG46"/>
    <mergeCell ref="E40:N40"/>
    <mergeCell ref="O40:P40"/>
    <mergeCell ref="X40:AG40"/>
    <mergeCell ref="E45:N45"/>
    <mergeCell ref="AH46:AI46"/>
    <mergeCell ref="AH44:AI44"/>
    <mergeCell ref="AH50:AI50"/>
    <mergeCell ref="AH48:AI48"/>
    <mergeCell ref="E49:N49"/>
    <mergeCell ref="O49:P49"/>
    <mergeCell ref="X49:AG49"/>
    <mergeCell ref="AH49:AI49"/>
    <mergeCell ref="E50:N50"/>
    <mergeCell ref="E48:N48"/>
    <mergeCell ref="O48:P48"/>
    <mergeCell ref="X48:AG48"/>
    <mergeCell ref="O45:P45"/>
    <mergeCell ref="X45:AG45"/>
    <mergeCell ref="AH45:AI45"/>
    <mergeCell ref="E38:N38"/>
    <mergeCell ref="O38:P38"/>
    <mergeCell ref="X38:AG38"/>
    <mergeCell ref="AH38:AI38"/>
    <mergeCell ref="E39:N39"/>
    <mergeCell ref="O39:P39"/>
    <mergeCell ref="X39:AG39"/>
    <mergeCell ref="AH39:AI39"/>
    <mergeCell ref="E33:N33"/>
    <mergeCell ref="O33:P33"/>
    <mergeCell ref="X33:AG33"/>
    <mergeCell ref="AH33:AI33"/>
    <mergeCell ref="AH36:AI36"/>
    <mergeCell ref="E37:N37"/>
    <mergeCell ref="O37:P37"/>
    <mergeCell ref="X37:AG37"/>
    <mergeCell ref="AH37:AI37"/>
    <mergeCell ref="E34:N34"/>
    <mergeCell ref="O34:P34"/>
    <mergeCell ref="X34:AG34"/>
    <mergeCell ref="AH34:AI34"/>
    <mergeCell ref="E35:N35"/>
    <mergeCell ref="O35:P35"/>
    <mergeCell ref="X35:AG35"/>
    <mergeCell ref="AH35:AI35"/>
    <mergeCell ref="E36:N36"/>
    <mergeCell ref="O36:P36"/>
    <mergeCell ref="X36:AG36"/>
    <mergeCell ref="AH22:AI22"/>
    <mergeCell ref="E30:N30"/>
    <mergeCell ref="O30:P30"/>
    <mergeCell ref="X30:AG30"/>
    <mergeCell ref="AH30:AI30"/>
    <mergeCell ref="E31:N31"/>
    <mergeCell ref="O31:P31"/>
    <mergeCell ref="X31:AG31"/>
    <mergeCell ref="AH31:AI31"/>
    <mergeCell ref="X24:AG24"/>
    <mergeCell ref="AH24:AI24"/>
    <mergeCell ref="E23:N23"/>
    <mergeCell ref="O23:P23"/>
    <mergeCell ref="X23:AG23"/>
    <mergeCell ref="AH23:AI23"/>
    <mergeCell ref="E22:N22"/>
    <mergeCell ref="X22:AG22"/>
    <mergeCell ref="O25:P25"/>
    <mergeCell ref="X25:AG25"/>
    <mergeCell ref="AH25:AI25"/>
    <mergeCell ref="E24:N24"/>
    <mergeCell ref="O24:P24"/>
    <mergeCell ref="O22:P22"/>
    <mergeCell ref="E25:N25"/>
    <mergeCell ref="AH32:AI32"/>
    <mergeCell ref="E29:N29"/>
    <mergeCell ref="O29:P29"/>
    <mergeCell ref="X29:AG29"/>
    <mergeCell ref="AH29:AI29"/>
    <mergeCell ref="E26:N26"/>
    <mergeCell ref="O26:P26"/>
    <mergeCell ref="X26:AG26"/>
    <mergeCell ref="AH26:AI26"/>
    <mergeCell ref="E27:N27"/>
    <mergeCell ref="O27:P27"/>
    <mergeCell ref="X27:AG27"/>
    <mergeCell ref="AH27:AI27"/>
    <mergeCell ref="E28:N28"/>
    <mergeCell ref="O28:P28"/>
    <mergeCell ref="AH28:AI28"/>
    <mergeCell ref="E32:N32"/>
    <mergeCell ref="X28:AG28"/>
    <mergeCell ref="O32:P32"/>
    <mergeCell ref="X32:AG32"/>
    <mergeCell ref="AH21:AI21"/>
    <mergeCell ref="AJ14:AK14"/>
    <mergeCell ref="B13:G13"/>
    <mergeCell ref="I13:L13"/>
    <mergeCell ref="N13:P13"/>
    <mergeCell ref="Q13:R13"/>
    <mergeCell ref="U17:Z17"/>
    <mergeCell ref="AB17:AE17"/>
    <mergeCell ref="AG17:AI17"/>
    <mergeCell ref="AJ17:AK17"/>
    <mergeCell ref="B17:G17"/>
    <mergeCell ref="U16:Z16"/>
    <mergeCell ref="Q17:R17"/>
    <mergeCell ref="AJ16:AK16"/>
    <mergeCell ref="Q15:R15"/>
    <mergeCell ref="AJ15:AK15"/>
    <mergeCell ref="I15:L15"/>
    <mergeCell ref="B16:G16"/>
    <mergeCell ref="I16:L16"/>
    <mergeCell ref="AG16:AI16"/>
    <mergeCell ref="N16:P16"/>
    <mergeCell ref="N15:P15"/>
    <mergeCell ref="Q16:R16"/>
    <mergeCell ref="AG15:AI15"/>
    <mergeCell ref="AJ3:AK3"/>
    <mergeCell ref="Q5:R5"/>
    <mergeCell ref="AJ4:AK4"/>
    <mergeCell ref="AJ13:AK13"/>
    <mergeCell ref="B14:G14"/>
    <mergeCell ref="I14:L14"/>
    <mergeCell ref="N14:P14"/>
    <mergeCell ref="Q14:R14"/>
    <mergeCell ref="U14:Z14"/>
    <mergeCell ref="AJ7:AK7"/>
    <mergeCell ref="M7:P7"/>
    <mergeCell ref="I12:L12"/>
    <mergeCell ref="N12:P12"/>
    <mergeCell ref="Q12:R12"/>
    <mergeCell ref="U12:Z12"/>
    <mergeCell ref="AB12:AE12"/>
    <mergeCell ref="AG12:AI12"/>
    <mergeCell ref="AJ12:AK12"/>
    <mergeCell ref="AG9:AK10"/>
    <mergeCell ref="AG13:AI13"/>
    <mergeCell ref="K7:L7"/>
    <mergeCell ref="I7:J7"/>
    <mergeCell ref="AF7:AI7"/>
    <mergeCell ref="U9:Z10"/>
    <mergeCell ref="AG14:AI14"/>
    <mergeCell ref="Q1:R1"/>
    <mergeCell ref="N9:R10"/>
    <mergeCell ref="AJ1:AK1"/>
    <mergeCell ref="M2:P2"/>
    <mergeCell ref="M3:P3"/>
    <mergeCell ref="M4:P4"/>
    <mergeCell ref="M5:P5"/>
    <mergeCell ref="M6:P6"/>
    <mergeCell ref="AF2:AI2"/>
    <mergeCell ref="AF3:AI3"/>
    <mergeCell ref="AF4:AI4"/>
    <mergeCell ref="AF5:AI5"/>
    <mergeCell ref="AF6:AI6"/>
    <mergeCell ref="Q6:R6"/>
    <mergeCell ref="AJ5:AK5"/>
    <mergeCell ref="AJ6:AK6"/>
    <mergeCell ref="Q2:R2"/>
    <mergeCell ref="Q4:R4"/>
    <mergeCell ref="AJ2:AK2"/>
    <mergeCell ref="Q3:R3"/>
    <mergeCell ref="B15:G15"/>
    <mergeCell ref="E21:F21"/>
    <mergeCell ref="O21:P21"/>
    <mergeCell ref="X21:Y21"/>
    <mergeCell ref="N17:P17"/>
    <mergeCell ref="B9:G10"/>
    <mergeCell ref="I9:L10"/>
    <mergeCell ref="U15:Z15"/>
    <mergeCell ref="AB15:AE15"/>
    <mergeCell ref="AB16:AE16"/>
    <mergeCell ref="I17:L17"/>
    <mergeCell ref="K5:L5"/>
    <mergeCell ref="B76:R78"/>
    <mergeCell ref="AJ18:AK19"/>
    <mergeCell ref="C18:G18"/>
    <mergeCell ref="J18:L18"/>
    <mergeCell ref="V18:Z18"/>
    <mergeCell ref="AC18:AE18"/>
    <mergeCell ref="B19:C19"/>
    <mergeCell ref="U19:V19"/>
    <mergeCell ref="D19:G19"/>
    <mergeCell ref="N18:P18"/>
    <mergeCell ref="I19:J19"/>
    <mergeCell ref="AB19:AC19"/>
    <mergeCell ref="K19:L19"/>
    <mergeCell ref="AD19:AE19"/>
    <mergeCell ref="Q18:R19"/>
    <mergeCell ref="W19:Z19"/>
    <mergeCell ref="AG18:AI18"/>
    <mergeCell ref="U13:Z13"/>
    <mergeCell ref="AB13:AE13"/>
    <mergeCell ref="AB9:AE10"/>
    <mergeCell ref="B12:G12"/>
    <mergeCell ref="AB14:AE14"/>
    <mergeCell ref="Q7:R7"/>
  </mergeCells>
  <conditionalFormatting sqref="AI55:AK61">
    <cfRule type="expression" dxfId="133" priority="2">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3" r:id="rId4" name="Button 5">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mc:AlternateContent xmlns:mc="http://schemas.openxmlformats.org/markup-compatibility/2006">
          <mc:Choice Requires="x14">
            <control shapeId="99342" r:id="rId5"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99344" r:id="rId6"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99370" r:id="rId7" name="Button 42">
              <controlPr defaultSize="0" print="0" autoFill="0" autoPict="0" macro="[0]!InvoiceTextBoxButtons_AdvancePayment">
                <anchor moveWithCells="1" sizeWithCells="1">
                  <from>
                    <xdr:col>8</xdr:col>
                    <xdr:colOff>63500</xdr:colOff>
                    <xdr:row>55</xdr:row>
                    <xdr:rowOff>25400</xdr:rowOff>
                  </from>
                  <to>
                    <xdr:col>10</xdr:col>
                    <xdr:colOff>25400</xdr:colOff>
                    <xdr:row>55</xdr:row>
                    <xdr:rowOff>177800</xdr:rowOff>
                  </to>
                </anchor>
              </controlPr>
            </control>
          </mc:Choice>
        </mc:AlternateContent>
        <mc:AlternateContent xmlns:mc="http://schemas.openxmlformats.org/markup-compatibility/2006">
          <mc:Choice Requires="x14">
            <control shapeId="773455" r:id="rId8" name="CheckboxBureaucracy">
              <controlPr defaultSize="0" autoFill="0" autoLine="0" autoPict="0" altText="Detailed Prices">
                <anchor moveWithCells="1">
                  <from>
                    <xdr:col>9</xdr:col>
                    <xdr:colOff>787400</xdr:colOff>
                    <xdr:row>4</xdr:row>
                    <xdr:rowOff>12700</xdr:rowOff>
                  </from>
                  <to>
                    <xdr:col>10</xdr:col>
                    <xdr:colOff>127000</xdr:colOff>
                    <xdr:row>5</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55BCC987-C41D-468E-8AD7-FB443FD91458}">
            <xm:f>IF(OR(E23=QCalc!$I$158,E23=QCalc!$I$159),1,0)</xm:f>
            <x14:dxf>
              <font>
                <color rgb="FFC00000"/>
              </font>
            </x14:dxf>
          </x14:cfRule>
          <xm:sqref>E23:N53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ADF6-F39D-477D-BFD1-6FCB888484D0}">
  <sheetPr codeName="Sheet25">
    <pageSetUpPr fitToPage="1"/>
  </sheetPr>
  <dimension ref="A1:AS57"/>
  <sheetViews>
    <sheetView zoomScaleNormal="100" workbookViewId="0"/>
  </sheetViews>
  <sheetFormatPr baseColWidth="10" defaultColWidth="11" defaultRowHeight="16" x14ac:dyDescent="0.2"/>
  <cols>
    <col min="1" max="1" width="2.83203125" customWidth="1"/>
    <col min="2" max="2" width="53.5" customWidth="1"/>
    <col min="3" max="3" width="2.5" customWidth="1"/>
    <col min="4" max="8" width="7.5" customWidth="1"/>
    <col min="9" max="9" width="8.1640625" customWidth="1"/>
    <col min="10" max="12" width="9" customWidth="1"/>
    <col min="13" max="13" width="10.33203125" customWidth="1"/>
    <col min="14" max="14" width="6" customWidth="1"/>
    <col min="15" max="15" width="8" customWidth="1"/>
    <col min="16" max="16" width="6.5" customWidth="1"/>
    <col min="17" max="17" width="7.6640625" customWidth="1"/>
    <col min="18" max="18" width="8.1640625" customWidth="1"/>
    <col min="19" max="20" width="7.33203125" customWidth="1"/>
    <col min="21" max="21" width="5.6640625" customWidth="1"/>
    <col min="22" max="22" width="10.1640625" customWidth="1"/>
    <col min="23" max="26" width="9.1640625" customWidth="1"/>
    <col min="30" max="39" width="7.6640625" customWidth="1"/>
    <col min="40" max="40" width="7.83203125" customWidth="1"/>
    <col min="42" max="42" width="9" customWidth="1"/>
    <col min="43" max="43" width="7.33203125" customWidth="1"/>
    <col min="44" max="44" width="7" customWidth="1"/>
    <col min="45" max="45" width="7.33203125" customWidth="1"/>
  </cols>
  <sheetData>
    <row r="1" spans="1:45" x14ac:dyDescent="0.2">
      <c r="B1" s="672" t="s">
        <v>532</v>
      </c>
      <c r="C1" s="672"/>
      <c r="D1" s="672">
        <v>1</v>
      </c>
      <c r="E1" s="672">
        <v>2</v>
      </c>
      <c r="F1" s="672">
        <v>3</v>
      </c>
      <c r="G1" s="672">
        <v>4</v>
      </c>
      <c r="H1" s="672">
        <v>5</v>
      </c>
      <c r="I1" s="672">
        <v>6</v>
      </c>
      <c r="J1" s="672">
        <v>7</v>
      </c>
      <c r="K1" s="672">
        <v>8</v>
      </c>
      <c r="L1" s="672">
        <v>9</v>
      </c>
      <c r="M1" s="672">
        <v>10</v>
      </c>
      <c r="N1" s="672">
        <v>11</v>
      </c>
      <c r="O1" s="672">
        <v>12</v>
      </c>
      <c r="P1" s="672">
        <v>13</v>
      </c>
      <c r="Q1" s="672">
        <v>14</v>
      </c>
      <c r="R1" s="672">
        <v>15</v>
      </c>
      <c r="S1" s="672">
        <v>16</v>
      </c>
      <c r="T1" s="672">
        <v>17</v>
      </c>
      <c r="U1" s="672">
        <v>18</v>
      </c>
      <c r="V1" s="672">
        <v>19</v>
      </c>
      <c r="W1" s="672">
        <v>20</v>
      </c>
      <c r="X1" s="672">
        <v>21</v>
      </c>
      <c r="Y1" s="672">
        <v>99</v>
      </c>
      <c r="AA1" s="779"/>
    </row>
    <row r="2" spans="1:45" x14ac:dyDescent="0.2">
      <c r="B2" t="s">
        <v>478</v>
      </c>
      <c r="D2" s="619">
        <v>1.1000000000000001</v>
      </c>
      <c r="F2" s="14"/>
      <c r="G2" s="14" t="s">
        <v>479</v>
      </c>
      <c r="H2" s="14"/>
      <c r="S2" s="709" t="s">
        <v>770</v>
      </c>
      <c r="T2" s="708">
        <v>1.07</v>
      </c>
      <c r="AA2" s="779"/>
      <c r="AB2" s="571"/>
      <c r="AC2" s="571"/>
      <c r="AD2" s="574"/>
      <c r="AE2" s="574"/>
      <c r="AF2" s="574"/>
      <c r="AG2" s="574"/>
      <c r="AH2" s="574"/>
      <c r="AI2" s="574"/>
      <c r="AJ2" s="574"/>
      <c r="AK2" s="574"/>
      <c r="AL2" s="574"/>
      <c r="AM2" s="574"/>
      <c r="AN2" s="571"/>
    </row>
    <row r="3" spans="1:45" x14ac:dyDescent="0.2">
      <c r="A3" s="571"/>
      <c r="B3" s="571"/>
      <c r="C3" s="780"/>
      <c r="D3" s="781" t="s">
        <v>480</v>
      </c>
      <c r="E3" s="781"/>
      <c r="F3" s="781"/>
      <c r="G3" s="781"/>
      <c r="H3" s="782"/>
      <c r="I3" s="783" t="s">
        <v>481</v>
      </c>
      <c r="J3" s="783"/>
      <c r="K3" s="783"/>
      <c r="L3" s="783"/>
      <c r="M3" s="783"/>
      <c r="N3" s="779"/>
      <c r="O3" s="784" t="s">
        <v>482</v>
      </c>
      <c r="P3" s="784"/>
      <c r="Q3" s="784"/>
      <c r="R3" s="784"/>
      <c r="S3" s="784"/>
      <c r="T3" s="784"/>
      <c r="U3" s="779"/>
      <c r="V3" s="620" t="s">
        <v>697</v>
      </c>
      <c r="W3" s="621" t="s">
        <v>698</v>
      </c>
      <c r="X3" s="621" t="s">
        <v>531</v>
      </c>
      <c r="Y3" s="621" t="s">
        <v>483</v>
      </c>
      <c r="AA3" s="779"/>
    </row>
    <row r="4" spans="1:45" s="622" customFormat="1" ht="45" x14ac:dyDescent="0.2">
      <c r="B4" s="623" t="s">
        <v>292</v>
      </c>
      <c r="C4" s="780"/>
      <c r="D4" s="624" t="s">
        <v>6</v>
      </c>
      <c r="E4" s="625" t="s">
        <v>137</v>
      </c>
      <c r="F4" s="625" t="s">
        <v>699</v>
      </c>
      <c r="G4" s="625" t="s">
        <v>441</v>
      </c>
      <c r="H4" s="782"/>
      <c r="I4" s="625" t="s">
        <v>700</v>
      </c>
      <c r="J4" s="625" t="s">
        <v>484</v>
      </c>
      <c r="K4" s="625" t="s">
        <v>485</v>
      </c>
      <c r="L4" s="625" t="s">
        <v>486</v>
      </c>
      <c r="M4" s="625" t="s">
        <v>701</v>
      </c>
      <c r="N4" s="779"/>
      <c r="O4" s="626"/>
      <c r="P4" s="641">
        <v>602</v>
      </c>
      <c r="Q4" s="626"/>
      <c r="R4" s="641">
        <v>607</v>
      </c>
      <c r="S4" s="641">
        <v>606</v>
      </c>
      <c r="T4" s="641">
        <v>607</v>
      </c>
      <c r="U4" s="779"/>
      <c r="V4" s="641">
        <v>609</v>
      </c>
      <c r="W4" s="626" t="s">
        <v>702</v>
      </c>
      <c r="X4" s="626" t="s">
        <v>533</v>
      </c>
      <c r="Y4" s="655" t="s">
        <v>703</v>
      </c>
      <c r="Z4" s="655"/>
      <c r="AA4" s="779"/>
      <c r="AB4" s="623" t="s">
        <v>292</v>
      </c>
      <c r="AD4" s="627"/>
      <c r="AE4" s="626"/>
      <c r="AF4" s="626" t="s">
        <v>441</v>
      </c>
      <c r="AG4" s="626" t="s">
        <v>487</v>
      </c>
      <c r="AH4" s="626" t="s">
        <v>320</v>
      </c>
      <c r="AJ4" s="626" t="s">
        <v>298</v>
      </c>
      <c r="AK4" s="626" t="s">
        <v>295</v>
      </c>
      <c r="AL4" s="626" t="s">
        <v>296</v>
      </c>
      <c r="AM4" s="626" t="s">
        <v>297</v>
      </c>
      <c r="AN4" s="626" t="s">
        <v>294</v>
      </c>
      <c r="AP4" s="622" t="s">
        <v>704</v>
      </c>
      <c r="AQ4" s="622" t="s">
        <v>457</v>
      </c>
      <c r="AR4" s="622" t="s">
        <v>461</v>
      </c>
      <c r="AS4" s="622" t="s">
        <v>705</v>
      </c>
    </row>
    <row r="5" spans="1:45" s="11" customFormat="1" ht="108" customHeight="1" x14ac:dyDescent="0.2">
      <c r="B5" s="628" t="s">
        <v>303</v>
      </c>
      <c r="C5" s="780"/>
      <c r="D5" s="13"/>
      <c r="E5" s="6"/>
      <c r="F5" s="5" t="s">
        <v>706</v>
      </c>
      <c r="G5" s="6"/>
      <c r="H5" s="782"/>
      <c r="I5" s="629" t="s">
        <v>488</v>
      </c>
      <c r="J5" s="629" t="s">
        <v>489</v>
      </c>
      <c r="K5" s="629" t="s">
        <v>490</v>
      </c>
      <c r="L5" s="629" t="s">
        <v>491</v>
      </c>
      <c r="M5" s="629" t="s">
        <v>492</v>
      </c>
      <c r="N5" s="779"/>
      <c r="O5" s="629" t="s">
        <v>493</v>
      </c>
      <c r="P5" s="629" t="s">
        <v>320</v>
      </c>
      <c r="Q5" s="5" t="s">
        <v>494</v>
      </c>
      <c r="R5" s="629" t="s">
        <v>495</v>
      </c>
      <c r="S5" s="629" t="s">
        <v>496</v>
      </c>
      <c r="T5" s="630" t="s">
        <v>297</v>
      </c>
      <c r="U5" s="779"/>
      <c r="V5" s="5" t="s">
        <v>497</v>
      </c>
      <c r="W5" s="5" t="s">
        <v>498</v>
      </c>
      <c r="X5" s="5" t="s">
        <v>707</v>
      </c>
      <c r="Y5" s="5"/>
      <c r="Z5"/>
      <c r="AA5" s="779"/>
      <c r="AB5" s="628" t="s">
        <v>303</v>
      </c>
      <c r="AD5" s="13" t="s">
        <v>299</v>
      </c>
      <c r="AE5" s="6" t="s">
        <v>229</v>
      </c>
      <c r="AF5" s="6" t="s">
        <v>499</v>
      </c>
      <c r="AG5" s="6" t="s">
        <v>293</v>
      </c>
      <c r="AL5" s="11" t="s">
        <v>415</v>
      </c>
      <c r="AP5" s="5" t="s">
        <v>498</v>
      </c>
      <c r="AS5" s="5" t="s">
        <v>708</v>
      </c>
    </row>
    <row r="6" spans="1:45" s="631" customFormat="1" ht="17" customHeight="1" x14ac:dyDescent="0.2">
      <c r="B6" s="632" t="s">
        <v>709</v>
      </c>
      <c r="C6" s="780"/>
      <c r="D6" s="656">
        <v>118</v>
      </c>
      <c r="E6" s="656">
        <v>193</v>
      </c>
      <c r="F6" s="657">
        <v>206</v>
      </c>
      <c r="G6" s="656">
        <v>333</v>
      </c>
      <c r="H6" s="782"/>
      <c r="I6" s="658">
        <v>370</v>
      </c>
      <c r="J6" s="658">
        <v>370</v>
      </c>
      <c r="K6" s="658">
        <v>370</v>
      </c>
      <c r="L6" s="658">
        <v>370</v>
      </c>
      <c r="M6" s="659">
        <v>650</v>
      </c>
      <c r="N6" s="779"/>
      <c r="O6" s="659">
        <v>383</v>
      </c>
      <c r="P6" s="656">
        <v>393</v>
      </c>
      <c r="Q6" s="656">
        <v>490</v>
      </c>
      <c r="R6" s="659">
        <v>498</v>
      </c>
      <c r="S6" s="659">
        <v>498</v>
      </c>
      <c r="T6" s="656">
        <v>632</v>
      </c>
      <c r="U6" s="779"/>
      <c r="V6" s="659">
        <v>632</v>
      </c>
      <c r="W6" s="659">
        <v>650</v>
      </c>
      <c r="X6" s="659">
        <v>748</v>
      </c>
      <c r="Y6" s="634"/>
      <c r="Z6"/>
      <c r="AA6" s="779"/>
      <c r="AB6" s="632"/>
      <c r="AD6" s="636"/>
      <c r="AE6" s="635"/>
      <c r="AF6" s="635"/>
      <c r="AG6" s="635"/>
    </row>
    <row r="7" spans="1:45" s="637" customFormat="1" ht="17" customHeight="1" x14ac:dyDescent="0.2">
      <c r="B7" s="638" t="s">
        <v>500</v>
      </c>
      <c r="C7" s="780"/>
      <c r="D7" s="657">
        <f>D6*$D$2</f>
        <v>129.80000000000001</v>
      </c>
      <c r="E7" s="657">
        <f>E6*$D$2</f>
        <v>212.3</v>
      </c>
      <c r="F7" s="660">
        <f>F6*$D$2</f>
        <v>226.60000000000002</v>
      </c>
      <c r="G7" s="657">
        <f t="shared" ref="G7" si="0">G6*$D$2</f>
        <v>366.3</v>
      </c>
      <c r="H7" s="782"/>
      <c r="I7" s="661">
        <f t="shared" ref="I7:M7" si="1">I6*$D$2</f>
        <v>407.00000000000006</v>
      </c>
      <c r="J7" s="661">
        <f t="shared" si="1"/>
        <v>407.00000000000006</v>
      </c>
      <c r="K7" s="661">
        <f t="shared" si="1"/>
        <v>407.00000000000006</v>
      </c>
      <c r="L7" s="661">
        <f t="shared" si="1"/>
        <v>407.00000000000006</v>
      </c>
      <c r="M7" s="657">
        <f t="shared" si="1"/>
        <v>715.00000000000011</v>
      </c>
      <c r="N7" s="779"/>
      <c r="O7" s="657">
        <f t="shared" ref="O7:T7" si="2">O6*$D$2</f>
        <v>421.3</v>
      </c>
      <c r="P7" s="657">
        <f t="shared" si="2"/>
        <v>432.3</v>
      </c>
      <c r="Q7" s="657">
        <f t="shared" si="2"/>
        <v>539</v>
      </c>
      <c r="R7" s="657">
        <f t="shared" si="2"/>
        <v>547.80000000000007</v>
      </c>
      <c r="S7" s="657">
        <f t="shared" si="2"/>
        <v>547.80000000000007</v>
      </c>
      <c r="T7" s="657">
        <f t="shared" si="2"/>
        <v>695.2</v>
      </c>
      <c r="U7" s="779"/>
      <c r="V7" s="657">
        <f t="shared" ref="V7" si="3">V6*$D$2</f>
        <v>695.2</v>
      </c>
      <c r="W7" s="657">
        <f>W6*$D$2</f>
        <v>715.00000000000011</v>
      </c>
      <c r="X7" s="657">
        <f>X6*$D$2</f>
        <v>822.80000000000007</v>
      </c>
      <c r="Y7" s="639"/>
      <c r="Z7"/>
      <c r="AA7" s="779"/>
      <c r="AB7" s="638"/>
      <c r="AD7" s="640"/>
      <c r="AE7" s="633"/>
      <c r="AF7" s="633"/>
      <c r="AG7" s="633"/>
    </row>
    <row r="8" spans="1:45" s="637" customFormat="1" ht="17" customHeight="1" x14ac:dyDescent="0.2">
      <c r="B8" s="638" t="s">
        <v>710</v>
      </c>
      <c r="C8" s="780"/>
      <c r="D8" s="639"/>
      <c r="E8" s="639"/>
      <c r="F8" s="662">
        <f>F6/E6</f>
        <v>1.0673575129533679</v>
      </c>
      <c r="G8" s="639"/>
      <c r="H8" s="782"/>
      <c r="I8" s="663"/>
      <c r="J8" s="663"/>
      <c r="K8" s="663"/>
      <c r="L8" s="663"/>
      <c r="M8" s="639"/>
      <c r="N8" s="779"/>
      <c r="O8" s="662">
        <f>O7/$I$7</f>
        <v>1.035135135135135</v>
      </c>
      <c r="P8" s="662"/>
      <c r="Q8" s="662">
        <f t="shared" ref="Q8" si="4">Q7/$I$7</f>
        <v>1.3243243243243241</v>
      </c>
      <c r="R8" s="662"/>
      <c r="S8" s="662"/>
      <c r="T8" s="662"/>
      <c r="U8" s="779"/>
      <c r="V8" s="662"/>
      <c r="W8" s="662">
        <f t="shared" ref="W8:X8" si="5">W7/$I$7</f>
        <v>1.7567567567567568</v>
      </c>
      <c r="X8" s="662">
        <f t="shared" si="5"/>
        <v>2.0216216216216214</v>
      </c>
      <c r="Y8" s="639"/>
      <c r="Z8"/>
      <c r="AA8" s="779"/>
      <c r="AB8" s="638"/>
      <c r="AD8" s="640"/>
      <c r="AE8" s="633"/>
      <c r="AF8" s="633"/>
      <c r="AG8" s="633"/>
    </row>
    <row r="9" spans="1:45" s="11" customFormat="1" ht="17" customHeight="1" x14ac:dyDescent="0.2">
      <c r="B9" s="628"/>
      <c r="C9" s="780"/>
      <c r="D9" s="13"/>
      <c r="E9" s="6"/>
      <c r="F9" s="662"/>
      <c r="G9" s="6"/>
      <c r="H9" s="782"/>
      <c r="I9" s="664"/>
      <c r="J9" s="664"/>
      <c r="K9" s="664"/>
      <c r="L9" s="664"/>
      <c r="M9" s="629"/>
      <c r="N9" s="779"/>
      <c r="O9" s="629"/>
      <c r="R9" s="629"/>
      <c r="S9" s="629"/>
      <c r="U9" s="779"/>
      <c r="V9" s="5"/>
      <c r="W9" s="5"/>
      <c r="X9" s="5"/>
      <c r="Y9" s="5"/>
      <c r="Z9"/>
      <c r="AA9" s="779"/>
      <c r="AB9" s="628"/>
      <c r="AD9" s="13"/>
      <c r="AE9" s="6"/>
      <c r="AF9" s="6"/>
      <c r="AG9" s="6"/>
    </row>
    <row r="10" spans="1:45" x14ac:dyDescent="0.2">
      <c r="B10" s="536"/>
      <c r="C10" s="780"/>
      <c r="D10" s="641"/>
      <c r="E10" s="641"/>
      <c r="F10" s="641"/>
      <c r="G10" s="642"/>
      <c r="H10" s="782"/>
      <c r="I10" s="665"/>
      <c r="J10" s="542"/>
      <c r="K10" s="665"/>
      <c r="L10" s="665"/>
      <c r="M10" s="641"/>
      <c r="N10" s="779"/>
      <c r="O10" s="641"/>
      <c r="U10" s="779"/>
      <c r="V10" s="641"/>
      <c r="W10" s="641"/>
      <c r="X10" s="641"/>
      <c r="Y10" s="641"/>
      <c r="AA10" s="779"/>
      <c r="AB10" s="536" t="s">
        <v>300</v>
      </c>
      <c r="AD10" s="641"/>
      <c r="AE10" s="641"/>
      <c r="AF10" s="641"/>
      <c r="AG10" s="641">
        <v>601</v>
      </c>
      <c r="AH10" s="641">
        <v>602</v>
      </c>
      <c r="AI10" s="641"/>
      <c r="AJ10" s="641">
        <v>607</v>
      </c>
      <c r="AK10" s="641">
        <v>606</v>
      </c>
      <c r="AL10" s="641">
        <v>609</v>
      </c>
      <c r="AM10" s="641">
        <v>607</v>
      </c>
      <c r="AN10" s="641">
        <v>608</v>
      </c>
    </row>
    <row r="11" spans="1:45" x14ac:dyDescent="0.2">
      <c r="B11" t="s">
        <v>711</v>
      </c>
      <c r="C11" s="780"/>
      <c r="D11" s="666">
        <f>ROUND($D$2*AD11*$T$2,0)</f>
        <v>85</v>
      </c>
      <c r="E11" s="667">
        <f>ROUND($D$2*AE11*$T$2,0)</f>
        <v>93</v>
      </c>
      <c r="F11" s="643">
        <f>ROUND(E11*$F$8,0)</f>
        <v>99</v>
      </c>
      <c r="G11" s="667">
        <f>ROUND($D$2*AF11*$T$2,0)</f>
        <v>107</v>
      </c>
      <c r="H11" s="782"/>
      <c r="I11" s="668">
        <f>ROUND($D$2*AG11*$T$2,0)</f>
        <v>124</v>
      </c>
      <c r="J11" s="542"/>
      <c r="K11" s="542"/>
      <c r="L11" s="542"/>
      <c r="M11" s="667">
        <f>ROUND($D$2*AN11*$T$2,0)</f>
        <v>220</v>
      </c>
      <c r="N11" s="779"/>
      <c r="O11" s="643">
        <f>ROUND(I11*O$8,0)</f>
        <v>128</v>
      </c>
      <c r="P11" s="667">
        <f>ROUND($D$2*AH11*$T$2,0)</f>
        <v>119</v>
      </c>
      <c r="Q11" s="643">
        <f>ROUND(I11*Q$8,0)</f>
        <v>164</v>
      </c>
      <c r="R11" s="669">
        <f>ROUND($D$2*AJ11*$T$2,0)</f>
        <v>177</v>
      </c>
      <c r="S11" s="669">
        <f>ROUND($D$2*AK11*$T$2,0)</f>
        <v>177</v>
      </c>
      <c r="T11" s="667">
        <f>ROUND($D$2*AM11*$T$2,0)</f>
        <v>181</v>
      </c>
      <c r="U11" s="779"/>
      <c r="V11" s="667">
        <f>ROUND($D$2*AL11*$T$2,0)</f>
        <v>181</v>
      </c>
      <c r="W11" s="643">
        <f>ROUND(I11*W$8,0)</f>
        <v>218</v>
      </c>
      <c r="X11" s="643">
        <f>ROUND(I11*X$8,0)</f>
        <v>251</v>
      </c>
      <c r="Y11" s="643"/>
      <c r="AA11" s="779"/>
      <c r="AB11" t="s">
        <v>304</v>
      </c>
      <c r="AD11" s="539">
        <v>72</v>
      </c>
      <c r="AE11" s="17">
        <v>79</v>
      </c>
      <c r="AF11" s="541">
        <v>91</v>
      </c>
      <c r="AG11" s="17">
        <v>105</v>
      </c>
      <c r="AH11" s="541">
        <v>101</v>
      </c>
      <c r="AJ11" s="17">
        <v>150</v>
      </c>
      <c r="AK11" s="541">
        <v>150</v>
      </c>
      <c r="AL11" s="17">
        <v>154</v>
      </c>
      <c r="AM11" s="541">
        <v>154</v>
      </c>
      <c r="AN11" s="17">
        <v>187</v>
      </c>
    </row>
    <row r="12" spans="1:45" x14ac:dyDescent="0.2">
      <c r="C12" s="780"/>
      <c r="D12" s="669"/>
      <c r="E12" s="669"/>
      <c r="F12" s="17"/>
      <c r="G12" s="669"/>
      <c r="H12" s="782"/>
      <c r="I12" s="668"/>
      <c r="J12" s="542"/>
      <c r="K12" s="542"/>
      <c r="L12" s="542"/>
      <c r="M12" s="669"/>
      <c r="N12" s="779"/>
      <c r="O12" s="17"/>
      <c r="P12" s="669"/>
      <c r="R12" s="669"/>
      <c r="S12" s="669"/>
      <c r="T12" s="669"/>
      <c r="U12" s="779"/>
      <c r="V12" s="669"/>
      <c r="W12" s="17"/>
      <c r="X12" s="17"/>
      <c r="Y12" s="17"/>
      <c r="AA12" s="779"/>
      <c r="AD12" s="537"/>
      <c r="AE12" s="17"/>
    </row>
    <row r="13" spans="1:45" x14ac:dyDescent="0.2">
      <c r="B13" t="s">
        <v>712</v>
      </c>
      <c r="C13" s="780"/>
      <c r="D13" s="666">
        <f>ROUND(D7*$T$2,0)</f>
        <v>139</v>
      </c>
      <c r="E13" s="667">
        <f>ROUND(E7*$T$2,0)</f>
        <v>227</v>
      </c>
      <c r="F13" s="643">
        <f>ROUND(F7*$T$2,0)</f>
        <v>242</v>
      </c>
      <c r="G13" s="667">
        <f>ROUND(G7*$T$2,0)</f>
        <v>392</v>
      </c>
      <c r="H13" s="782"/>
      <c r="I13" s="668">
        <f>ROUND(I7*$T$2,0)</f>
        <v>435</v>
      </c>
      <c r="J13" s="542"/>
      <c r="K13" s="542"/>
      <c r="L13" s="542"/>
      <c r="M13" s="667">
        <f>ROUND(M7*$T$2,0)</f>
        <v>765</v>
      </c>
      <c r="N13" s="779"/>
      <c r="O13" s="643">
        <f t="shared" ref="O13:T13" si="6">ROUND(O7*$T$2,0)</f>
        <v>451</v>
      </c>
      <c r="P13" s="667">
        <f t="shared" si="6"/>
        <v>463</v>
      </c>
      <c r="Q13" s="643">
        <f t="shared" si="6"/>
        <v>577</v>
      </c>
      <c r="R13" s="667">
        <f t="shared" si="6"/>
        <v>586</v>
      </c>
      <c r="S13" s="667">
        <f t="shared" si="6"/>
        <v>586</v>
      </c>
      <c r="T13" s="667">
        <f t="shared" si="6"/>
        <v>744</v>
      </c>
      <c r="U13" s="779"/>
      <c r="V13" s="667">
        <f>ROUND(V7*$T$2,0)</f>
        <v>744</v>
      </c>
      <c r="W13" s="643">
        <f>ROUND(W7*$T$2,0)</f>
        <v>765</v>
      </c>
      <c r="X13" s="643">
        <f>ROUND(X7*$T$2,0)</f>
        <v>880</v>
      </c>
      <c r="Y13" s="643"/>
      <c r="AA13" s="779"/>
    </row>
    <row r="14" spans="1:45" x14ac:dyDescent="0.2">
      <c r="C14" s="780"/>
      <c r="D14" s="669"/>
      <c r="E14" s="669"/>
      <c r="F14" s="17"/>
      <c r="G14" s="669"/>
      <c r="H14" s="782"/>
      <c r="I14" s="668"/>
      <c r="J14" s="542"/>
      <c r="K14" s="542"/>
      <c r="L14" s="542"/>
      <c r="M14" s="669"/>
      <c r="N14" s="779"/>
      <c r="O14" s="17"/>
      <c r="P14" s="669"/>
      <c r="R14" s="669"/>
      <c r="S14" s="669"/>
      <c r="T14" s="669"/>
      <c r="U14" s="779"/>
      <c r="V14" s="669"/>
      <c r="W14" s="17"/>
      <c r="X14" s="17"/>
      <c r="Y14" s="17"/>
      <c r="AA14" s="779"/>
      <c r="AD14" s="537"/>
      <c r="AE14" s="17"/>
    </row>
    <row r="15" spans="1:45" x14ac:dyDescent="0.2">
      <c r="B15" t="s">
        <v>713</v>
      </c>
      <c r="C15" s="780"/>
      <c r="D15" s="666">
        <f>ROUND($D$2*AD15*$T$2,0)</f>
        <v>483</v>
      </c>
      <c r="E15" s="667">
        <f>ROUND($D$2*AE15*$T$2,0)</f>
        <v>656</v>
      </c>
      <c r="F15" s="643">
        <f>ROUND(E15*$F$8,0)</f>
        <v>700</v>
      </c>
      <c r="G15" s="667">
        <f>ROUND($D$2*AF15*$T$2,0)</f>
        <v>1079</v>
      </c>
      <c r="H15" s="782"/>
      <c r="I15" s="668">
        <f>ROUND($D$2*AG15*$T$2,0)</f>
        <v>1230</v>
      </c>
      <c r="J15" s="542"/>
      <c r="K15" s="542"/>
      <c r="L15" s="542"/>
      <c r="M15" s="667">
        <f>ROUND($D$2*AN15*$T$2,0)</f>
        <v>2110</v>
      </c>
      <c r="N15" s="779"/>
      <c r="O15" s="643">
        <f>ROUND(I15*O$8,0)</f>
        <v>1273</v>
      </c>
      <c r="P15" s="667">
        <f>ROUND($D$2*AH15*$T$2,0)</f>
        <v>1282</v>
      </c>
      <c r="Q15" s="643">
        <f>ROUND(I15*Q$8,0)</f>
        <v>1629</v>
      </c>
      <c r="R15" s="667">
        <f>ROUND($D$2*AJ15*$T$2,0)</f>
        <v>1709</v>
      </c>
      <c r="S15" s="667">
        <f>ROUND($D$2*AK15*$T$2,0)</f>
        <v>1709</v>
      </c>
      <c r="T15" s="667">
        <f>ROUND($D$2*AM15*$T$2,0)</f>
        <v>1924</v>
      </c>
      <c r="U15" s="779"/>
      <c r="V15" s="667">
        <f>ROUND($D$2*AL15*$T$2,0)</f>
        <v>1920</v>
      </c>
      <c r="W15" s="643">
        <f>ROUND(I15*W$8,0)</f>
        <v>2161</v>
      </c>
      <c r="X15" s="643">
        <f>ROUND(I15*X$8,0)</f>
        <v>2487</v>
      </c>
      <c r="Y15" s="643"/>
      <c r="AA15" s="779"/>
      <c r="AB15" t="s">
        <v>305</v>
      </c>
      <c r="AD15" s="539">
        <v>410</v>
      </c>
      <c r="AE15" s="17">
        <v>557</v>
      </c>
      <c r="AF15" s="541">
        <v>917</v>
      </c>
      <c r="AG15" s="17">
        <v>1045</v>
      </c>
      <c r="AH15" s="541">
        <v>1089</v>
      </c>
      <c r="AJ15" s="17">
        <v>1452</v>
      </c>
      <c r="AK15" s="541">
        <v>1452</v>
      </c>
      <c r="AL15" s="17">
        <v>1631</v>
      </c>
      <c r="AM15" s="541">
        <v>1635</v>
      </c>
      <c r="AN15" s="17">
        <v>1793</v>
      </c>
    </row>
    <row r="16" spans="1:45" x14ac:dyDescent="0.2">
      <c r="B16" t="s">
        <v>714</v>
      </c>
      <c r="C16" s="780"/>
      <c r="D16" s="666">
        <f>ROUND($D$2*AD16*$T$2,0)</f>
        <v>363</v>
      </c>
      <c r="E16" s="667">
        <f>ROUND($D$2*AE16*$T$2,0)</f>
        <v>440</v>
      </c>
      <c r="F16" s="643">
        <f>ROUND(E16*$F$8,0)</f>
        <v>470</v>
      </c>
      <c r="G16" s="667">
        <f>ROUND($D$2*AF16*$T$2,0)</f>
        <v>684</v>
      </c>
      <c r="H16" s="782"/>
      <c r="I16" s="668">
        <f>ROUND($D$2*AG16*$T$2,0)</f>
        <v>778</v>
      </c>
      <c r="J16" s="542"/>
      <c r="K16" s="542"/>
      <c r="L16" s="542"/>
      <c r="M16" s="667">
        <f>ROUND($D$2*AN16*$T$2,0)</f>
        <v>1282</v>
      </c>
      <c r="N16" s="779"/>
      <c r="O16" s="643">
        <f>ROUND(I16*O$8,0)</f>
        <v>805</v>
      </c>
      <c r="P16" s="667">
        <f>ROUND($D$2*AH16*$T$2,0)</f>
        <v>800</v>
      </c>
      <c r="Q16" s="643">
        <f>ROUND(I16*Q$8,0)</f>
        <v>1030</v>
      </c>
      <c r="R16" s="667">
        <f>ROUND($D$2*AJ16*$T$2,0)</f>
        <v>1025</v>
      </c>
      <c r="S16" s="667">
        <f>ROUND($D$2*AK16*$T$2,0)</f>
        <v>1025</v>
      </c>
      <c r="T16" s="667">
        <f>ROUND($D$2*AM16*$T$2,0)</f>
        <v>1256</v>
      </c>
      <c r="U16" s="779"/>
      <c r="V16" s="667">
        <f>ROUND($D$2*AL16*$T$2,0)</f>
        <v>1258</v>
      </c>
      <c r="W16" s="643">
        <f>ROUND(I16*W$8,0)</f>
        <v>1367</v>
      </c>
      <c r="X16" s="643">
        <f>ROUND(I16*X$8,0)</f>
        <v>1573</v>
      </c>
      <c r="Y16" s="643"/>
      <c r="AA16" s="779"/>
      <c r="AB16" t="s">
        <v>306</v>
      </c>
      <c r="AD16" s="539">
        <v>308</v>
      </c>
      <c r="AE16" s="17">
        <v>374</v>
      </c>
      <c r="AF16" s="541">
        <v>581</v>
      </c>
      <c r="AG16" s="17">
        <v>661</v>
      </c>
      <c r="AH16" s="541">
        <v>680</v>
      </c>
      <c r="AJ16" s="17">
        <v>871</v>
      </c>
      <c r="AK16" s="541">
        <v>871</v>
      </c>
      <c r="AL16" s="17">
        <v>1069</v>
      </c>
      <c r="AM16" s="541">
        <v>1067</v>
      </c>
      <c r="AN16" s="17">
        <v>1089</v>
      </c>
    </row>
    <row r="17" spans="2:45" x14ac:dyDescent="0.2">
      <c r="C17" s="780"/>
      <c r="D17" s="669"/>
      <c r="E17" s="669"/>
      <c r="F17" s="17"/>
      <c r="G17" s="669"/>
      <c r="H17" s="782"/>
      <c r="I17" s="668"/>
      <c r="J17" s="542"/>
      <c r="K17" s="542"/>
      <c r="L17" s="542"/>
      <c r="M17" s="669"/>
      <c r="N17" s="779"/>
      <c r="O17" s="17"/>
      <c r="P17" s="669"/>
      <c r="R17" s="669"/>
      <c r="S17" s="669"/>
      <c r="T17" s="669"/>
      <c r="U17" s="779"/>
      <c r="V17" s="669"/>
      <c r="W17" s="17"/>
      <c r="X17" s="17"/>
      <c r="Y17" s="17"/>
      <c r="AA17" s="779"/>
      <c r="AD17" s="537"/>
      <c r="AE17" s="17"/>
      <c r="AF17" s="541"/>
      <c r="AG17" s="17"/>
      <c r="AH17" s="541"/>
      <c r="AJ17" s="17"/>
      <c r="AK17" s="541"/>
      <c r="AL17" s="17"/>
      <c r="AM17" s="541"/>
      <c r="AN17" s="17"/>
    </row>
    <row r="18" spans="2:45" x14ac:dyDescent="0.2">
      <c r="B18" t="s">
        <v>715</v>
      </c>
      <c r="C18" s="780"/>
      <c r="D18" s="666">
        <f>ROUND($D$2*AD18*$T$2,0)</f>
        <v>224</v>
      </c>
      <c r="E18" s="667">
        <f>ROUND($D$2*AE18*$T$2,0)</f>
        <v>264</v>
      </c>
      <c r="F18" s="643">
        <f>ROUND(E18*$F$8,0)</f>
        <v>282</v>
      </c>
      <c r="G18" s="667">
        <f>ROUND($D$2*AF18*$T$2,0)</f>
        <v>365</v>
      </c>
      <c r="H18" s="782"/>
      <c r="I18" s="668">
        <f>ROUND($D$2*AG18*$T$2,0)</f>
        <v>411</v>
      </c>
      <c r="J18" s="542"/>
      <c r="K18" s="542"/>
      <c r="L18" s="542"/>
      <c r="M18" s="667">
        <f>ROUND($D$2*AN18*$T$2,0)</f>
        <v>657</v>
      </c>
      <c r="N18" s="779"/>
      <c r="O18" s="643">
        <f>ROUND(I18*O$8,0)</f>
        <v>425</v>
      </c>
      <c r="P18" s="667">
        <f>ROUND($D$2*AH18*$T$2,0)</f>
        <v>423</v>
      </c>
      <c r="Q18" s="643">
        <f>ROUND(I18*Q$8,0)</f>
        <v>544</v>
      </c>
      <c r="R18" s="667">
        <f>ROUND($D$2*AJ18*$T$2,0)</f>
        <v>514</v>
      </c>
      <c r="S18" s="667">
        <f>ROUND($D$2*AK18*$T$2,0)</f>
        <v>729</v>
      </c>
      <c r="T18" s="667">
        <f>ROUND($D$2*AM18*$T$2,0)</f>
        <v>617</v>
      </c>
      <c r="U18" s="779"/>
      <c r="V18" s="667">
        <f>ROUND($D$2*AL18*$T$2,0)</f>
        <v>614</v>
      </c>
      <c r="W18" s="643">
        <f>ROUND(I18*W$8,0)</f>
        <v>722</v>
      </c>
      <c r="X18" s="643">
        <f>ROUND(I18*X$8,0)</f>
        <v>831</v>
      </c>
      <c r="Y18" s="643"/>
      <c r="AA18" s="779"/>
      <c r="AB18" t="s">
        <v>307</v>
      </c>
      <c r="AD18" s="539">
        <v>190</v>
      </c>
      <c r="AE18" s="17">
        <v>224</v>
      </c>
      <c r="AF18" s="541">
        <v>310</v>
      </c>
      <c r="AG18" s="17">
        <v>349</v>
      </c>
      <c r="AH18" s="541">
        <v>359</v>
      </c>
      <c r="AJ18" s="17">
        <v>437</v>
      </c>
      <c r="AK18" s="541">
        <v>619</v>
      </c>
      <c r="AL18" s="17">
        <v>522</v>
      </c>
      <c r="AM18" s="541">
        <v>524</v>
      </c>
      <c r="AN18" s="17">
        <v>558</v>
      </c>
    </row>
    <row r="19" spans="2:45" x14ac:dyDescent="0.2">
      <c r="C19" s="780"/>
      <c r="D19" s="669"/>
      <c r="E19" s="669"/>
      <c r="F19" s="17"/>
      <c r="G19" s="669"/>
      <c r="H19" s="782"/>
      <c r="I19" s="668"/>
      <c r="J19" s="542"/>
      <c r="K19" s="542"/>
      <c r="L19" s="542"/>
      <c r="M19" s="669"/>
      <c r="N19" s="779"/>
      <c r="O19" s="643"/>
      <c r="P19" s="669"/>
      <c r="R19" s="667"/>
      <c r="S19" s="667"/>
      <c r="T19" s="669"/>
      <c r="U19" s="779"/>
      <c r="V19" s="669"/>
      <c r="W19" s="17"/>
      <c r="X19" s="17"/>
      <c r="Y19" s="17"/>
      <c r="AA19" s="779"/>
      <c r="AD19" s="537"/>
      <c r="AE19" s="17"/>
      <c r="AF19" s="541"/>
      <c r="AG19" s="17"/>
      <c r="AH19" s="541"/>
      <c r="AJ19" s="17"/>
      <c r="AK19" s="541"/>
      <c r="AL19" s="17"/>
      <c r="AM19" s="541"/>
      <c r="AN19" s="17"/>
    </row>
    <row r="20" spans="2:45" x14ac:dyDescent="0.2">
      <c r="B20" t="s">
        <v>314</v>
      </c>
      <c r="C20" s="780"/>
      <c r="D20" s="666">
        <f t="shared" ref="D20:E23" si="7">ROUND($D$2*AD20*$T$2,0)</f>
        <v>61</v>
      </c>
      <c r="E20" s="667">
        <f t="shared" si="7"/>
        <v>55</v>
      </c>
      <c r="F20" s="643">
        <f>ROUND(E20*$F$8,0)</f>
        <v>59</v>
      </c>
      <c r="G20" s="667">
        <f>ROUND($D$2*AF20*$T$2,0)</f>
        <v>153</v>
      </c>
      <c r="H20" s="782"/>
      <c r="I20" s="668">
        <f>ROUND($D$2*AG20*$T$2,0)</f>
        <v>172</v>
      </c>
      <c r="J20" s="542"/>
      <c r="K20" s="542"/>
      <c r="L20" s="542"/>
      <c r="M20" s="667">
        <f>ROUND($D$2*AN20*$T$2,0)</f>
        <v>319</v>
      </c>
      <c r="N20" s="779"/>
      <c r="O20" s="643">
        <f>ROUND(I20*O$8,0)</f>
        <v>178</v>
      </c>
      <c r="P20" s="667">
        <f>ROUND($D$2*AH20*$T$2,0)</f>
        <v>179</v>
      </c>
      <c r="Q20" s="643">
        <f>ROUND(I20*Q$8,0)</f>
        <v>228</v>
      </c>
      <c r="R20" s="667">
        <f t="shared" ref="R20:S23" si="8">ROUND($D$2*AJ20*$T$2,0)</f>
        <v>215</v>
      </c>
      <c r="S20" s="667">
        <f t="shared" si="8"/>
        <v>215</v>
      </c>
      <c r="T20" s="667">
        <f>ROUND($D$2*AM20*$T$2,0)</f>
        <v>271</v>
      </c>
      <c r="U20" s="779"/>
      <c r="V20" s="667">
        <f>ROUND($D$2*AL20*$T$2,0)</f>
        <v>271</v>
      </c>
      <c r="W20" s="643">
        <f>ROUND(I20*W$8,0)</f>
        <v>302</v>
      </c>
      <c r="X20" s="643">
        <f>ROUND(I20*X$8,0)</f>
        <v>348</v>
      </c>
      <c r="Y20" s="643"/>
      <c r="AA20" s="779"/>
      <c r="AB20" t="s">
        <v>314</v>
      </c>
      <c r="AD20" s="539">
        <v>52</v>
      </c>
      <c r="AE20" s="644">
        <v>47</v>
      </c>
      <c r="AF20" s="541">
        <v>130</v>
      </c>
      <c r="AG20" s="17">
        <v>146</v>
      </c>
      <c r="AH20" s="541">
        <v>152</v>
      </c>
      <c r="AJ20" s="17">
        <v>183</v>
      </c>
      <c r="AK20" s="541">
        <v>183</v>
      </c>
      <c r="AL20" s="17">
        <v>230</v>
      </c>
      <c r="AM20" s="541">
        <v>230</v>
      </c>
      <c r="AN20" s="17">
        <v>271</v>
      </c>
    </row>
    <row r="21" spans="2:45" x14ac:dyDescent="0.2">
      <c r="B21" t="s">
        <v>315</v>
      </c>
      <c r="C21" s="780"/>
      <c r="D21" s="666">
        <f t="shared" si="7"/>
        <v>74</v>
      </c>
      <c r="E21" s="667">
        <f t="shared" si="7"/>
        <v>74</v>
      </c>
      <c r="F21" s="643">
        <f>ROUND(E21*$F$8,0)</f>
        <v>79</v>
      </c>
      <c r="G21" s="667">
        <f>ROUND($D$2*AF21*$T$2,0)</f>
        <v>191</v>
      </c>
      <c r="H21" s="782"/>
      <c r="I21" s="668">
        <f>ROUND($D$2*AG21*$T$2,0)</f>
        <v>215</v>
      </c>
      <c r="J21" s="542"/>
      <c r="K21" s="542"/>
      <c r="L21" s="542"/>
      <c r="M21" s="667">
        <f>ROUND($D$2*AN21*$T$2,0)</f>
        <v>398</v>
      </c>
      <c r="N21" s="779"/>
      <c r="O21" s="643">
        <f>ROUND(I21*O$8,0)</f>
        <v>223</v>
      </c>
      <c r="P21" s="667">
        <f>ROUND($D$2*AH21*$T$2,0)</f>
        <v>224</v>
      </c>
      <c r="Q21" s="643">
        <f>ROUND(I21*Q$8,0)</f>
        <v>285</v>
      </c>
      <c r="R21" s="667">
        <f t="shared" si="8"/>
        <v>280</v>
      </c>
      <c r="S21" s="667">
        <f t="shared" si="8"/>
        <v>280</v>
      </c>
      <c r="T21" s="667">
        <f>ROUND($D$2*AM21*$T$2,0)</f>
        <v>360</v>
      </c>
      <c r="U21" s="779"/>
      <c r="V21" s="667">
        <f>ROUND($D$2*AL21*$T$2,0)</f>
        <v>360</v>
      </c>
      <c r="W21" s="643">
        <f>ROUND(I21*W$8,0)</f>
        <v>378</v>
      </c>
      <c r="X21" s="643">
        <f>ROUND(I21*X$8,0)</f>
        <v>435</v>
      </c>
      <c r="Y21" s="643"/>
      <c r="AA21" s="779"/>
      <c r="AB21" t="s">
        <v>315</v>
      </c>
      <c r="AD21" s="539">
        <v>63</v>
      </c>
      <c r="AE21" s="644">
        <v>63</v>
      </c>
      <c r="AF21" s="541">
        <v>162</v>
      </c>
      <c r="AG21" s="17">
        <v>183</v>
      </c>
      <c r="AH21" s="541">
        <v>190</v>
      </c>
      <c r="AJ21" s="17">
        <v>238</v>
      </c>
      <c r="AK21" s="541">
        <v>238</v>
      </c>
      <c r="AL21" s="17">
        <v>306</v>
      </c>
      <c r="AM21" s="541">
        <v>306</v>
      </c>
      <c r="AN21" s="17">
        <v>338</v>
      </c>
    </row>
    <row r="22" spans="2:45" x14ac:dyDescent="0.2">
      <c r="B22" t="s">
        <v>316</v>
      </c>
      <c r="C22" s="780"/>
      <c r="D22" s="666">
        <f t="shared" si="7"/>
        <v>61</v>
      </c>
      <c r="E22" s="667">
        <f t="shared" si="7"/>
        <v>55</v>
      </c>
      <c r="F22" s="643">
        <f>ROUND(E22*$F$8,0)</f>
        <v>59</v>
      </c>
      <c r="G22" s="667">
        <f>ROUND($D$2*AF22*$T$2,0)</f>
        <v>153</v>
      </c>
      <c r="H22" s="782"/>
      <c r="I22" s="668">
        <f>ROUND($D$2*AG22*$T$2,0)</f>
        <v>172</v>
      </c>
      <c r="J22" s="542"/>
      <c r="K22" s="542"/>
      <c r="L22" s="542"/>
      <c r="M22" s="667">
        <f>ROUND($D$2*AN22*$T$2,0)</f>
        <v>319</v>
      </c>
      <c r="N22" s="779"/>
      <c r="O22" s="643">
        <f>ROUND(I22*O$8,0)</f>
        <v>178</v>
      </c>
      <c r="P22" s="667">
        <f>ROUND($D$2*AH22*$T$2,0)</f>
        <v>179</v>
      </c>
      <c r="Q22" s="643">
        <f>ROUND(I22*Q$8,0)</f>
        <v>228</v>
      </c>
      <c r="R22" s="667">
        <f t="shared" si="8"/>
        <v>215</v>
      </c>
      <c r="S22" s="667">
        <f t="shared" si="8"/>
        <v>215</v>
      </c>
      <c r="T22" s="667">
        <f>ROUND($D$2*AM22*$T$2,0)</f>
        <v>271</v>
      </c>
      <c r="U22" s="779"/>
      <c r="V22" s="667">
        <f>ROUND($D$2*AL22*$T$2,0)</f>
        <v>271</v>
      </c>
      <c r="W22" s="643">
        <f>ROUND(I22*W$8,0)</f>
        <v>302</v>
      </c>
      <c r="X22" s="643">
        <f>ROUND(I22*X$8,0)</f>
        <v>348</v>
      </c>
      <c r="Y22" s="643"/>
      <c r="AA22" s="779"/>
      <c r="AB22" t="s">
        <v>316</v>
      </c>
      <c r="AD22" s="539">
        <v>52</v>
      </c>
      <c r="AE22" s="644">
        <v>47</v>
      </c>
      <c r="AF22" s="541">
        <v>130</v>
      </c>
      <c r="AG22" s="17">
        <v>146</v>
      </c>
      <c r="AH22" s="541">
        <v>152</v>
      </c>
      <c r="AJ22" s="17">
        <v>183</v>
      </c>
      <c r="AK22" s="541">
        <v>183</v>
      </c>
      <c r="AL22" s="17">
        <v>230</v>
      </c>
      <c r="AM22" s="541">
        <v>230</v>
      </c>
      <c r="AN22" s="17">
        <v>271</v>
      </c>
    </row>
    <row r="23" spans="2:45" x14ac:dyDescent="0.2">
      <c r="B23" t="s">
        <v>317</v>
      </c>
      <c r="C23" s="780"/>
      <c r="D23" s="666">
        <f t="shared" si="7"/>
        <v>85</v>
      </c>
      <c r="E23" s="667">
        <f t="shared" si="7"/>
        <v>106</v>
      </c>
      <c r="F23" s="643">
        <f>ROUND(E23*$F$8,0)</f>
        <v>113</v>
      </c>
      <c r="G23" s="667">
        <f>ROUND($D$2*AF23*$T$2,0)</f>
        <v>254</v>
      </c>
      <c r="H23" s="782"/>
      <c r="I23" s="668">
        <f>ROUND($D$2*AG23*$T$2,0)</f>
        <v>287</v>
      </c>
      <c r="J23" s="542"/>
      <c r="K23" s="542"/>
      <c r="L23" s="542"/>
      <c r="M23" s="667">
        <f>ROUND($D$2*AN23*$T$2,0)</f>
        <v>533</v>
      </c>
      <c r="N23" s="779"/>
      <c r="O23" s="643">
        <f>ROUND(I23*O$8,0)</f>
        <v>297</v>
      </c>
      <c r="P23" s="667">
        <f>ROUND($D$2*AH23*$T$2,0)</f>
        <v>300</v>
      </c>
      <c r="Q23" s="643">
        <f>ROUND(I23*Q$8,0)</f>
        <v>380</v>
      </c>
      <c r="R23" s="667">
        <f t="shared" si="8"/>
        <v>354</v>
      </c>
      <c r="S23" s="667">
        <f t="shared" si="8"/>
        <v>391</v>
      </c>
      <c r="T23" s="667">
        <f>ROUND($D$2*AM23*$T$2,0)</f>
        <v>493</v>
      </c>
      <c r="U23" s="779"/>
      <c r="V23" s="667">
        <f>ROUND($D$2*AL23*$T$2,0)</f>
        <v>493</v>
      </c>
      <c r="W23" s="643">
        <f>ROUND(I23*W$8,0)</f>
        <v>504</v>
      </c>
      <c r="X23" s="643">
        <f>ROUND(I23*X$8,0)</f>
        <v>580</v>
      </c>
      <c r="Y23" s="643"/>
      <c r="AA23" s="779"/>
      <c r="AB23" t="s">
        <v>317</v>
      </c>
      <c r="AD23" s="539">
        <v>72</v>
      </c>
      <c r="AE23" s="644">
        <v>90</v>
      </c>
      <c r="AF23" s="541">
        <v>216</v>
      </c>
      <c r="AG23" s="17">
        <v>244</v>
      </c>
      <c r="AH23" s="541">
        <v>255</v>
      </c>
      <c r="AJ23" s="17">
        <v>301</v>
      </c>
      <c r="AK23" s="541">
        <v>332</v>
      </c>
      <c r="AL23" s="17">
        <v>419</v>
      </c>
      <c r="AM23" s="541">
        <v>419</v>
      </c>
      <c r="AN23" s="17">
        <v>453</v>
      </c>
    </row>
    <row r="24" spans="2:45" x14ac:dyDescent="0.2">
      <c r="C24" s="780"/>
      <c r="D24" s="537"/>
      <c r="E24" s="17"/>
      <c r="F24" s="17"/>
      <c r="G24" s="669"/>
      <c r="H24" s="782"/>
      <c r="I24" s="670"/>
      <c r="J24" s="542"/>
      <c r="K24" s="542"/>
      <c r="L24" s="542"/>
      <c r="M24" s="669"/>
      <c r="N24" s="779"/>
      <c r="O24" s="643"/>
      <c r="P24" s="669"/>
      <c r="R24" s="667"/>
      <c r="S24" s="667"/>
      <c r="T24" s="669"/>
      <c r="U24" s="779"/>
      <c r="V24" s="669"/>
      <c r="W24" s="17"/>
      <c r="X24" s="17"/>
      <c r="Y24" s="17"/>
      <c r="AA24" s="779"/>
      <c r="AD24" s="537"/>
      <c r="AE24" s="17"/>
      <c r="AF24" s="541"/>
      <c r="AG24" s="17"/>
      <c r="AH24" s="541"/>
      <c r="AJ24" s="17"/>
      <c r="AK24" s="541"/>
      <c r="AL24" s="17"/>
      <c r="AM24" s="541"/>
      <c r="AN24" s="17"/>
    </row>
    <row r="25" spans="2:45" x14ac:dyDescent="0.2">
      <c r="B25" t="s">
        <v>716</v>
      </c>
      <c r="C25" s="780"/>
      <c r="D25" s="666">
        <f>ROUND(61*$T$2,0)</f>
        <v>65</v>
      </c>
      <c r="E25" s="667">
        <f>ROUND($D$2*AE25*$T$2,0)</f>
        <v>67</v>
      </c>
      <c r="F25" s="643">
        <f>ROUND(E25*$F$8,0)</f>
        <v>72</v>
      </c>
      <c r="G25" s="667">
        <f>ROUND($D$2*AF25*$T$2,0)</f>
        <v>179</v>
      </c>
      <c r="H25" s="782"/>
      <c r="I25" s="668">
        <f>ROUND($D$2*AG25*$T$2,0)</f>
        <v>200</v>
      </c>
      <c r="J25" s="542"/>
      <c r="K25" s="542"/>
      <c r="L25" s="542"/>
      <c r="M25" s="667">
        <f>ROUND($D$2*AN25*$T$2,0)</f>
        <v>372</v>
      </c>
      <c r="N25" s="779"/>
      <c r="O25" s="643">
        <f>ROUND(I25*O$8,0)</f>
        <v>207</v>
      </c>
      <c r="P25" s="667">
        <f>ROUND($D$2*AH25*$T$2,0)</f>
        <v>208</v>
      </c>
      <c r="Q25" s="643">
        <f>ROUND(I25*Q$8,0)</f>
        <v>265</v>
      </c>
      <c r="R25" s="667">
        <f>ROUND($D$2*AJ25*$T$2,0)</f>
        <v>258</v>
      </c>
      <c r="S25" s="667">
        <f>ROUND($D$2*AK25*$T$2,0)</f>
        <v>258</v>
      </c>
      <c r="T25" s="667">
        <f>ROUND($D$2*AM25*$T$2,0)</f>
        <v>332</v>
      </c>
      <c r="U25" s="779"/>
      <c r="V25" s="667">
        <f>ROUND($D$2*AL25*$T$2,0)</f>
        <v>332</v>
      </c>
      <c r="W25" s="643">
        <f>ROUND(I25*W$8,0)</f>
        <v>351</v>
      </c>
      <c r="X25" s="643">
        <f>ROUND(I25*X$8,0)</f>
        <v>404</v>
      </c>
      <c r="Y25" s="643"/>
      <c r="AA25" s="779"/>
      <c r="AB25" t="s">
        <v>318</v>
      </c>
      <c r="AD25" s="539">
        <v>61</v>
      </c>
      <c r="AE25" s="644">
        <v>57</v>
      </c>
      <c r="AF25" s="541">
        <v>152</v>
      </c>
      <c r="AG25" s="17">
        <v>170</v>
      </c>
      <c r="AH25" s="541">
        <v>177</v>
      </c>
      <c r="AJ25" s="17">
        <v>219</v>
      </c>
      <c r="AK25" s="541">
        <v>219</v>
      </c>
      <c r="AL25" s="17">
        <v>282</v>
      </c>
      <c r="AM25" s="541">
        <v>282</v>
      </c>
      <c r="AN25" s="17">
        <v>316</v>
      </c>
    </row>
    <row r="26" spans="2:45" x14ac:dyDescent="0.2">
      <c r="B26" t="s">
        <v>717</v>
      </c>
      <c r="C26" s="780"/>
      <c r="D26" s="666">
        <f>ROUND($D$2*AD26*$T$2,0)</f>
        <v>115</v>
      </c>
      <c r="E26" s="667">
        <f>ROUND($D$2*AE26*$T$2,0)</f>
        <v>128</v>
      </c>
      <c r="F26" s="667">
        <f>ROUND($D$2*AS26*$T$2,0)</f>
        <v>153</v>
      </c>
      <c r="G26" s="667">
        <f>ROUND($D$2*AF26*$T$2,0)</f>
        <v>255</v>
      </c>
      <c r="H26" s="782"/>
      <c r="I26" s="668">
        <f>ROUND($D$2*AG26*$T$2,0)</f>
        <v>254</v>
      </c>
      <c r="J26" s="542"/>
      <c r="K26" s="542"/>
      <c r="L26" s="542"/>
      <c r="M26" s="667">
        <f>ROUND($D$2*AN26*$T$2,0)</f>
        <v>463</v>
      </c>
      <c r="N26" s="779"/>
      <c r="O26" s="667">
        <f>ROUND($D$2*AQ26*$T$2,0)</f>
        <v>267</v>
      </c>
      <c r="P26" s="667">
        <f>ROUND($D$2*AH26*$T$2,0)</f>
        <v>267</v>
      </c>
      <c r="Q26" s="667">
        <f>ROUND($D$2*AR26*$T$2,0)</f>
        <v>332</v>
      </c>
      <c r="R26" s="667">
        <f>ROUND($D$2*AJ26*$T$2,0)</f>
        <v>346</v>
      </c>
      <c r="S26" s="667">
        <f>ROUND($D$2*AK26*$T$2,0)</f>
        <v>346</v>
      </c>
      <c r="T26" s="667">
        <f>ROUND($D$2*AM26*$T$2,0)</f>
        <v>434</v>
      </c>
      <c r="U26" s="779"/>
      <c r="V26" s="667">
        <f>ROUND($D$2*AL26*$T$2,0)</f>
        <v>434</v>
      </c>
      <c r="W26" s="667">
        <f>ROUND($D$2*AP26*$T$2,0)</f>
        <v>471</v>
      </c>
      <c r="X26" s="667">
        <f>ROUND(I26*X$8,0)</f>
        <v>513</v>
      </c>
      <c r="Y26" s="643"/>
      <c r="AA26" s="779"/>
      <c r="AD26" s="539">
        <v>98</v>
      </c>
      <c r="AE26" s="644">
        <v>109</v>
      </c>
      <c r="AF26" s="541">
        <v>217</v>
      </c>
      <c r="AG26" s="17">
        <v>216</v>
      </c>
      <c r="AH26" s="541">
        <v>227</v>
      </c>
      <c r="AJ26" s="17">
        <v>294</v>
      </c>
      <c r="AK26" s="541">
        <v>294</v>
      </c>
      <c r="AL26" s="17">
        <v>369</v>
      </c>
      <c r="AM26" s="541">
        <v>369</v>
      </c>
      <c r="AN26" s="17">
        <v>393</v>
      </c>
      <c r="AP26" s="17">
        <v>400</v>
      </c>
      <c r="AQ26" s="17">
        <v>227</v>
      </c>
      <c r="AR26" s="17">
        <v>282</v>
      </c>
      <c r="AS26" s="17">
        <v>130</v>
      </c>
    </row>
    <row r="27" spans="2:45" x14ac:dyDescent="0.2">
      <c r="B27" t="s">
        <v>718</v>
      </c>
      <c r="C27" s="780"/>
      <c r="D27" s="666">
        <f>ROUND(1.25*D26,0)</f>
        <v>144</v>
      </c>
      <c r="E27" s="667">
        <f>ROUND(1.25*E26,0)</f>
        <v>160</v>
      </c>
      <c r="F27" s="667">
        <f>ROUND(1.25*F26,0)</f>
        <v>191</v>
      </c>
      <c r="G27" s="667">
        <f>ROUND(1.25*G26,0)</f>
        <v>319</v>
      </c>
      <c r="H27" s="782"/>
      <c r="I27" s="668">
        <f>ROUND(1.25*I26,0)</f>
        <v>318</v>
      </c>
      <c r="J27" s="542"/>
      <c r="K27" s="542"/>
      <c r="L27" s="542"/>
      <c r="M27" s="667">
        <f>ROUND(1.25*M26,0)</f>
        <v>579</v>
      </c>
      <c r="N27" s="779"/>
      <c r="O27" s="667">
        <f t="shared" ref="O27:T27" si="9">ROUND(1.25*O26,0)</f>
        <v>334</v>
      </c>
      <c r="P27" s="667">
        <f t="shared" si="9"/>
        <v>334</v>
      </c>
      <c r="Q27" s="667">
        <f t="shared" si="9"/>
        <v>415</v>
      </c>
      <c r="R27" s="667">
        <f t="shared" si="9"/>
        <v>433</v>
      </c>
      <c r="S27" s="667">
        <f t="shared" si="9"/>
        <v>433</v>
      </c>
      <c r="T27" s="667">
        <f t="shared" si="9"/>
        <v>543</v>
      </c>
      <c r="U27" s="779"/>
      <c r="V27" s="667">
        <f>ROUND(1.25*V26,0)</f>
        <v>543</v>
      </c>
      <c r="W27" s="667">
        <f>ROUND(1.25*W26,0)</f>
        <v>589</v>
      </c>
      <c r="X27" s="667">
        <f>ROUND(I27*X$8,0)</f>
        <v>643</v>
      </c>
      <c r="Y27" s="643"/>
      <c r="AA27" s="779"/>
      <c r="AD27" s="539"/>
      <c r="AE27" s="644">
        <v>117</v>
      </c>
      <c r="AF27" s="541"/>
      <c r="AG27" s="17">
        <v>263</v>
      </c>
      <c r="AH27" s="541"/>
      <c r="AJ27" s="17">
        <v>370</v>
      </c>
      <c r="AK27" s="541"/>
      <c r="AL27" s="17"/>
      <c r="AM27" s="541"/>
      <c r="AN27" s="17"/>
      <c r="AP27" s="17"/>
      <c r="AQ27" s="17"/>
      <c r="AR27" s="17"/>
      <c r="AS27" s="17"/>
    </row>
    <row r="28" spans="2:45" x14ac:dyDescent="0.2">
      <c r="B28" t="s">
        <v>719</v>
      </c>
      <c r="C28" s="780"/>
      <c r="D28" s="666">
        <f>ROUND(69*$T$2,0)</f>
        <v>74</v>
      </c>
      <c r="E28" s="667">
        <f>ROUND($D$2*AE28*$T$2,0)</f>
        <v>168</v>
      </c>
      <c r="F28" s="643">
        <f>ROUND(E28*$F$8,0)</f>
        <v>179</v>
      </c>
      <c r="G28" s="667">
        <f>ROUND($D$2*AF28*$T$2,0)</f>
        <v>374</v>
      </c>
      <c r="H28" s="782"/>
      <c r="I28" s="668">
        <f>ROUND($D$2*AG28*$T$2,0)</f>
        <v>425</v>
      </c>
      <c r="J28" s="542"/>
      <c r="K28" s="542"/>
      <c r="L28" s="542"/>
      <c r="M28" s="667">
        <f>ROUND($D$2*AN28*$T$2,0)</f>
        <v>793</v>
      </c>
      <c r="N28" s="779"/>
      <c r="O28" s="643">
        <f>ROUND(I28*O$8,0)</f>
        <v>440</v>
      </c>
      <c r="P28" s="667">
        <f>ROUND($D$2*AH28*$T$2,0)</f>
        <v>445</v>
      </c>
      <c r="Q28" s="643">
        <f>ROUND(I28*Q$8,0)</f>
        <v>563</v>
      </c>
      <c r="R28" s="667">
        <f>ROUND($D$2*AJ28*$T$2,0)</f>
        <v>599</v>
      </c>
      <c r="S28" s="667">
        <f>ROUND($D$2*AK28*$T$2,0)</f>
        <v>599</v>
      </c>
      <c r="T28" s="667">
        <f>ROUND($D$2*AM28*$T$2,0)</f>
        <v>774</v>
      </c>
      <c r="U28" s="779"/>
      <c r="V28" s="667">
        <f>ROUND($D$2*AL28*$T$2,0)</f>
        <v>774</v>
      </c>
      <c r="W28" s="643">
        <f>ROUND(I28*W$8,0)</f>
        <v>747</v>
      </c>
      <c r="X28" s="643">
        <f>ROUND(I28*X$8,0)</f>
        <v>859</v>
      </c>
      <c r="Y28" s="643"/>
      <c r="AA28" s="779"/>
      <c r="AB28" t="s">
        <v>308</v>
      </c>
      <c r="AD28" s="539">
        <v>69</v>
      </c>
      <c r="AE28" s="644">
        <v>143</v>
      </c>
      <c r="AF28" s="541">
        <v>318</v>
      </c>
      <c r="AG28" s="17">
        <v>361</v>
      </c>
      <c r="AH28" s="541">
        <v>378</v>
      </c>
      <c r="AJ28" s="17">
        <v>509</v>
      </c>
      <c r="AK28" s="541">
        <v>509</v>
      </c>
      <c r="AL28" s="17">
        <v>658</v>
      </c>
      <c r="AM28" s="541">
        <v>658</v>
      </c>
      <c r="AN28" s="17">
        <v>674</v>
      </c>
    </row>
    <row r="30" spans="2:45" x14ac:dyDescent="0.2">
      <c r="B30" s="538" t="s">
        <v>301</v>
      </c>
      <c r="AB30" s="538" t="s">
        <v>301</v>
      </c>
    </row>
    <row r="31" spans="2:45" x14ac:dyDescent="0.2">
      <c r="B31" s="288" t="s">
        <v>302</v>
      </c>
      <c r="AB31" s="288" t="s">
        <v>302</v>
      </c>
    </row>
    <row r="33" spans="2:36" x14ac:dyDescent="0.2">
      <c r="D33" s="501" t="s">
        <v>720</v>
      </c>
      <c r="E33" s="17"/>
      <c r="F33" s="17"/>
      <c r="G33" s="671"/>
      <c r="AE33" s="616">
        <f>AE27/AE26</f>
        <v>1.073394495412844</v>
      </c>
      <c r="AF33" s="616"/>
      <c r="AG33" s="616">
        <f>AG27/AG26</f>
        <v>1.2175925925925926</v>
      </c>
      <c r="AH33" s="616"/>
      <c r="AI33" s="616"/>
      <c r="AJ33" s="616">
        <f>AJ27/AJ26</f>
        <v>1.2585034013605443</v>
      </c>
    </row>
    <row r="34" spans="2:36" x14ac:dyDescent="0.2">
      <c r="D34" t="s">
        <v>721</v>
      </c>
    </row>
    <row r="38" spans="2:36" x14ac:dyDescent="0.2">
      <c r="B38" s="652" t="s">
        <v>501</v>
      </c>
      <c r="D38" s="652" t="s">
        <v>502</v>
      </c>
      <c r="G38" s="652" t="s">
        <v>146</v>
      </c>
    </row>
    <row r="39" spans="2:36" x14ac:dyDescent="0.2">
      <c r="B39" s="652"/>
    </row>
    <row r="40" spans="2:36" x14ac:dyDescent="0.2">
      <c r="B40" s="652" t="s">
        <v>503</v>
      </c>
      <c r="D40" s="652" t="s">
        <v>504</v>
      </c>
      <c r="G40" s="652" t="s">
        <v>505</v>
      </c>
    </row>
    <row r="41" spans="2:36" x14ac:dyDescent="0.2">
      <c r="B41" s="652"/>
    </row>
    <row r="42" spans="2:36" x14ac:dyDescent="0.2">
      <c r="B42" s="652" t="s">
        <v>506</v>
      </c>
      <c r="D42" s="652" t="s">
        <v>507</v>
      </c>
      <c r="G42" s="654" t="s">
        <v>692</v>
      </c>
    </row>
    <row r="43" spans="2:36" x14ac:dyDescent="0.2">
      <c r="B43" s="652"/>
    </row>
    <row r="44" spans="2:36" x14ac:dyDescent="0.2">
      <c r="B44" s="652" t="s">
        <v>508</v>
      </c>
      <c r="D44" s="652" t="s">
        <v>509</v>
      </c>
      <c r="G44" s="654" t="s">
        <v>693</v>
      </c>
    </row>
    <row r="45" spans="2:36" x14ac:dyDescent="0.2">
      <c r="B45" s="652"/>
    </row>
    <row r="46" spans="2:36" x14ac:dyDescent="0.2">
      <c r="B46" s="652" t="s">
        <v>510</v>
      </c>
      <c r="D46" s="652" t="s">
        <v>511</v>
      </c>
      <c r="G46" s="652" t="s">
        <v>512</v>
      </c>
    </row>
    <row r="47" spans="2:36" x14ac:dyDescent="0.2">
      <c r="B47" s="652"/>
    </row>
    <row r="48" spans="2:36" x14ac:dyDescent="0.2">
      <c r="B48" s="652" t="s">
        <v>513</v>
      </c>
      <c r="D48" s="652" t="s">
        <v>514</v>
      </c>
      <c r="G48" s="652" t="s">
        <v>512</v>
      </c>
    </row>
    <row r="49" spans="2:7" x14ac:dyDescent="0.2">
      <c r="B49" s="652"/>
    </row>
    <row r="50" spans="2:7" x14ac:dyDescent="0.2">
      <c r="B50" s="652" t="s">
        <v>515</v>
      </c>
      <c r="D50" s="652" t="s">
        <v>516</v>
      </c>
      <c r="G50" s="652" t="s">
        <v>512</v>
      </c>
    </row>
    <row r="51" spans="2:7" x14ac:dyDescent="0.2">
      <c r="B51" s="652"/>
    </row>
    <row r="52" spans="2:7" x14ac:dyDescent="0.2">
      <c r="B52" s="652" t="s">
        <v>517</v>
      </c>
      <c r="D52" s="652" t="s">
        <v>518</v>
      </c>
      <c r="G52" s="652" t="s">
        <v>512</v>
      </c>
    </row>
    <row r="53" spans="2:7" x14ac:dyDescent="0.2">
      <c r="B53" s="652"/>
    </row>
    <row r="54" spans="2:7" x14ac:dyDescent="0.2">
      <c r="B54" s="652" t="s">
        <v>519</v>
      </c>
      <c r="D54" s="652" t="s">
        <v>520</v>
      </c>
      <c r="G54" s="652" t="s">
        <v>512</v>
      </c>
    </row>
    <row r="55" spans="2:7" x14ac:dyDescent="0.2">
      <c r="B55" s="652"/>
    </row>
    <row r="56" spans="2:7" x14ac:dyDescent="0.2">
      <c r="B56" s="652"/>
    </row>
    <row r="57" spans="2:7" x14ac:dyDescent="0.2">
      <c r="B57" s="652" t="s">
        <v>521</v>
      </c>
      <c r="D57" s="652" t="s">
        <v>522</v>
      </c>
      <c r="G57" s="652" t="s">
        <v>523</v>
      </c>
    </row>
  </sheetData>
  <sheetProtection algorithmName="SHA-512" hashValue="TarMLk0K2dJhKAyQULW7INXBlEh97yF0rUAAN9P/ZBLJWk6bShwqer6DgjGy87VlkTAzXOUk7p1xjQ3WnKFaag==" saltValue="A7S7cBz7PVSzA40JLJni7g==" spinCount="100000" sheet="1" objects="1" scenarios="1" selectLockedCells="1"/>
  <mergeCells count="8">
    <mergeCell ref="AA1:AA28"/>
    <mergeCell ref="C3:C28"/>
    <mergeCell ref="D3:G3"/>
    <mergeCell ref="H3:H28"/>
    <mergeCell ref="I3:M3"/>
    <mergeCell ref="N3:N28"/>
    <mergeCell ref="O3:T3"/>
    <mergeCell ref="U3:U28"/>
  </mergeCells>
  <pageMargins left="0.25" right="0.25" top="0.75" bottom="0.75" header="0.3" footer="0.3"/>
  <pageSetup scale="53" fitToHeight="2" orientation="landscape"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Q37"/>
  <sheetViews>
    <sheetView showGridLines="0" zoomScaleNormal="100" workbookViewId="0">
      <selection activeCell="F5" sqref="F5:I5"/>
    </sheetView>
  </sheetViews>
  <sheetFormatPr baseColWidth="10" defaultColWidth="0" defaultRowHeight="16" zeroHeight="1" x14ac:dyDescent="0.2"/>
  <cols>
    <col min="1" max="1" width="15.1640625" style="122"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7" width="10.6640625" customWidth="1"/>
    <col min="18" max="16384" width="10.6640625" hidden="1"/>
  </cols>
  <sheetData>
    <row r="1" spans="1:17" ht="21.5" customHeight="1" x14ac:dyDescent="0.2">
      <c r="B1" s="410" t="str">
        <f>$A$2 &amp; IF(Francais," Liste de Prix V. "," Price List V. ") &amp; YearOfList &amp;
IF(Francais, " en devise "," in ") &amp; IF(OR(IndexZone=3,IndexZone=8,IndexZone=10),"USD",IF(IndexZone=5,"Euros","CAD")) &amp; IF(Francais, ""," Currency")</f>
        <v>WinRHIZO™ Price List V. 2025 in Euros Currency</v>
      </c>
      <c r="C1" s="411"/>
      <c r="G1" s="412"/>
      <c r="H1" s="15"/>
      <c r="I1" s="408" t="str">
        <f>IF(Francais,"Valide jusqu'au","Valid until")</f>
        <v>Valid until</v>
      </c>
    </row>
    <row r="2" spans="1:17" ht="28.25" customHeight="1" x14ac:dyDescent="0.2">
      <c r="A2" s="413" t="s">
        <v>177</v>
      </c>
      <c r="B2" s="403"/>
      <c r="C2" s="404"/>
      <c r="D2" s="404"/>
      <c r="E2" s="405" t="str">
        <f>IF(AND(RHIZO_N_Software=1,RHIZO_N_UpgradeUpdate=1,RHIZO_N_System&gt;1),
IF(Francais,"Système","")&amp;IF(RHIZO_IndexScanner=1," STD4800"," LA2400")&amp;IF(Francais,""," System"),
IF(AND(RHIZO_N_System&gt;1,Francais),"Système ","")&amp;LEFT(INDEX(RHIZO_SoftwareFullNames,RHIZO_IndexSoftware),FIND(" ",INDEX(RHIZO_SoftwareFullNames,RHIZO_IndexSoftware),FIND(" ",INDEX(RHIZO_SoftwareFullNames,RHIZO_IndexSoftware))+1)) &amp;
RHIZO_YearMostRecent &amp;
IF(RHIZO_N_System&gt;1,IF(RHIZO_IndexScanner=1," STD4800"," LA2400")&amp;IF(Francais,""," System"),IF(AND(RHIZO_N_Software=1,RHIZO_N_System=1,RHIZO_N_UpgradeUpdate&gt;1),IF(Francais," Mise à jour"," Update"),IF(Francais," Logiciel"," Software")))) &amp;
IF(AND(RHIZO_ClientWithOrWithoutScanner=2,RHIZO_N_System&gt;1),IF(Francais," Sans Scanner"," Without Scanner"),IF(Francais," Avec Scanner"," With Scanner"))</f>
        <v>WinRHIZO™ Pro 2025 Software With Scanner</v>
      </c>
      <c r="F2" s="406"/>
      <c r="G2" s="405" t="s">
        <v>15</v>
      </c>
      <c r="H2" s="407">
        <f>(H11)+IFERROR(#REF!,0)+IF(ISNUMBER(H14),H14,0)+H22</f>
        <v>0</v>
      </c>
      <c r="I2" s="409" t="s">
        <v>789</v>
      </c>
    </row>
    <row r="3" spans="1:17"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7" s="1" customFormat="1" ht="30" customHeight="1" x14ac:dyDescent="0.2">
      <c r="A4" s="18"/>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WinRHIZO™, indicate how many licences (to get a discount).
         ↓</v>
      </c>
    </row>
    <row r="5" spans="1:17" ht="18" customHeight="1" x14ac:dyDescent="0.2">
      <c r="A5" s="795" t="str">
        <f>IF(Francais,"1) Choisir le        → modèle du logiciel à acheter / mettre à jour.","1) Choose the → software model to buy or update.")</f>
        <v>1) Choose the → software model to buy or update.</v>
      </c>
      <c r="B5" s="479"/>
      <c r="C5" s="210" t="str">
        <f>$A$2&amp; IF(Francais," Modèle logiciel"," Software Model")</f>
        <v>WinRHIZO™ Software Model</v>
      </c>
      <c r="D5" s="211"/>
      <c r="F5" s="793"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3"/>
      <c r="J5" s="796"/>
    </row>
    <row r="6" spans="1:17"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Software license (32 and 64-bit, for Windows 7 to 11). Instructions manuals (PDF &amp; Printed). No activation &amp; Internet connection required. Perpetual license (use it as long as you want without afterward fees).</v>
      </c>
      <c r="D6" s="287"/>
      <c r="E6" s="287"/>
      <c r="J6" s="796"/>
    </row>
    <row r="7" spans="1:17" ht="18" customHeight="1" x14ac:dyDescent="0.2">
      <c r="A7" s="795"/>
      <c r="B7" s="194"/>
      <c r="C7" s="1" t="str">
        <f>"• XL" &amp; PROPER(SUBSTITUTE(A2,"Win","")) &amp; " " &amp; IF(Francais,"Logiciel pour analyse des données de " &amp;A2&amp; " (requiert MS Excel, non-inclus)","Software for " &amp;A2&amp; "'s data Analysis (requires MS Excel, not included)" )</f>
        <v>• XLRhizo™ Software for WinRHIZO™'s data Analysis (requires MS Excel, not included)</v>
      </c>
      <c r="D7" s="287"/>
      <c r="E7" s="287"/>
      <c r="I7" s="1"/>
      <c r="J7" s="796"/>
    </row>
    <row r="8" spans="1:17"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7" ht="18" customHeight="1" x14ac:dyDescent="0.2">
      <c r="B9" s="200"/>
      <c r="D9" s="287"/>
      <c r="E9" s="287"/>
      <c r="F9" s="446"/>
      <c r="G9" s="446"/>
      <c r="H9" s="446"/>
      <c r="I9" s="434"/>
      <c r="J9" s="796"/>
      <c r="K9" s="428"/>
      <c r="L9" s="428"/>
      <c r="M9" s="428"/>
      <c r="N9" s="428"/>
      <c r="O9" s="428"/>
      <c r="P9" s="428"/>
    </row>
    <row r="10" spans="1:17" ht="8" customHeight="1" x14ac:dyDescent="0.2">
      <c r="A10" s="794" t="str">
        <f>IF(Francais,"2) Choisir combien de nouvelle(s)    → license(s).","2) Select how many new   → license(s).")</f>
        <v>2) Select how many new   → license(s).</v>
      </c>
      <c r="B10" s="200"/>
      <c r="D10" s="145"/>
      <c r="E10" s="7"/>
      <c r="F10" s="7"/>
      <c r="G10" s="201"/>
      <c r="H10"/>
      <c r="J10" s="796"/>
      <c r="L10" s="203"/>
      <c r="P10" s="425"/>
      <c r="Q10" s="425"/>
    </row>
    <row r="11" spans="1:17" ht="31" customHeight="1" x14ac:dyDescent="0.2">
      <c r="A11" s="794"/>
      <c r="B11" s="480"/>
      <c r="C11" s="210" t="str">
        <f>IF(Francais,"Nouvelle(s) License(s) Logiciel " &amp; $A$2,"New "&amp;$A$2&amp;" Software License(s)")</f>
        <v>New WinRHIZO™ Software License(s)</v>
      </c>
      <c r="D11" s="211"/>
      <c r="E11" s="211"/>
      <c r="F11" s="211"/>
      <c r="G11" s="213">
        <f>IFERROR(H11/(RHIZO_N_Software-1),0)</f>
        <v>0</v>
      </c>
      <c r="H11" s="278">
        <f>ROUND((INDEX(RHIZO_SoftwarePriceList,RHIZO_IndexSoftware))*
IF(RHIZO_N_Software-1=0,0,SUM(MMULT(
  _xlfn.MUNIT(
    RHIZO_N_Software-1),
    INDEX(TableLists[Column10],RHIZO_N_AlreadyHaveSoftware-1+2):
    INDEX(TableLists[Column10],(RHIZO_N_AlreadyHaveSoftware-1+1)+(RHIZO_N_Software-1))
))),0)</f>
        <v>0</v>
      </c>
      <c r="I11" s="435">
        <v>852349</v>
      </c>
      <c r="J11" s="203" t="str">
        <f>IF(Francais,"  Je possède", "  I own")</f>
        <v xml:space="preserve">  I own</v>
      </c>
    </row>
    <row r="12" spans="1:17" x14ac:dyDescent="0.2">
      <c r="A12" s="794"/>
      <c r="B12" s="202"/>
      <c r="C12"/>
      <c r="D12"/>
      <c r="E12"/>
      <c r="F12"/>
      <c r="G12"/>
      <c r="H12"/>
      <c r="I12" s="204"/>
      <c r="J12" s="45"/>
    </row>
    <row r="13" spans="1:17" ht="30" customHeight="1" x14ac:dyDescent="0.2">
      <c r="A13" s="426"/>
      <c r="B13" s="187"/>
      <c r="C13" s="188" t="str">
        <f>IF(Francais,"Matériel","Hardware")</f>
        <v>Hardware</v>
      </c>
      <c r="D13" s="190"/>
      <c r="E13" s="190"/>
      <c r="F13" s="190"/>
      <c r="G13" s="191" t="str">
        <f>IF(Francais,"SOUS-TOTAL MATÉRIEL:","HARDWARE SUBTOTAL:")</f>
        <v>HARDWARE SUBTOTAL:</v>
      </c>
      <c r="H13" s="192">
        <f>IF(ISNUMBER(H14),H14,0)+H22</f>
        <v>0</v>
      </c>
      <c r="I13" s="215"/>
      <c r="J13" s="791" t="str">
        <f>IF(Checkbox_Updates=FALSE,IF(Francais,"License(s) Logiciel " &amp; $A$2,$A$2&amp;" Software License(s)"),"")</f>
        <v>WinRHIZO™ Software License(s)</v>
      </c>
    </row>
    <row r="14" spans="1:17" ht="30.75" customHeight="1" x14ac:dyDescent="0.2">
      <c r="A14" s="792"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Select 1 or + → to get a system with or without a scanner and choose the model. "Without" is when you already have it or buy it locally.</v>
      </c>
      <c r="B14" s="480"/>
      <c r="C14" s="210" t="str">
        <f>IF(Francais,"Système " &amp; $A$2, $A$2 &amp; " System")</f>
        <v>WinRHIZO™ System</v>
      </c>
      <c r="D14" s="789" t="str">
        <f>IF(Francais,
"Incluant:",
"Including:")</f>
        <v>Including:</v>
      </c>
      <c r="E14" s="789"/>
      <c r="F14" s="212"/>
      <c r="G14" s="216">
        <f>IFERROR(H14/(RHIZO_N_System-1),0)</f>
        <v>0</v>
      </c>
      <c r="H14" s="279">
        <f>IF(AND(RHIZO_N_Software=1,RHIZO_N_UpgradeUpdate=1,NOT(SuperUser),RHIZO_N_System&gt;1),IF(Francais,"vendu avec logiciel uniquement","sold with software only"),
ROUND((IF(RHIZO_ClientWithOrWithoutScanner=1,
       IF(RHIZO_IndexScanner=1,PrixSTD,PrixLAavecTPU),
       IF(RHIZO_IndexScanner=1,STD_GenCalib_Drivers_Instr_Techsup,LA_GenCalib_Drivers_Instr_Techsup))
+IF(RHIZO_PosiOrBlueBG_Checkbox,IF(RHIZO_IndexScanner=1,PrixRootPosiSTD,PrixRootPosiLA),0)
)*(RHIZO_N_System-1),0))</f>
        <v>0</v>
      </c>
      <c r="I14" s="214">
        <v>903149</v>
      </c>
      <c r="J14" s="791"/>
    </row>
    <row r="15" spans="1:17" ht="15.75" customHeight="1" x14ac:dyDescent="0.2">
      <c r="A15" s="792"/>
      <c r="B15" s="217"/>
      <c r="C15" s="397" t="str">
        <f>"• Scanner"</f>
        <v>• Scanner</v>
      </c>
      <c r="D15" s="790" t="str">
        <f>IF(RHIZO_ClientWithOrWithoutScanner=1,
IF(Francais,
"• Documentation, logiciels et accessoires du manufacturier",
"• Manufacturer documentation, software and accessories"),
IF(Francais,"• Scanner non inclus","• No scanner included"))</f>
        <v>• Manufacturer documentation, software and accessories</v>
      </c>
      <c r="E15" s="790"/>
      <c r="G15" s="788" t="str">
        <f>IF(Checkbox_Instructions,HYPERLINK("https://regentinstruments.com/assets/ourscanners.html?utm_source=PriceQuoteXLS",IF(Francais,"Cliquez pour voir les spécifications de nos scanners","Click to view our scanners specifications")),"")</f>
        <v>Click to view our scanners specifications</v>
      </c>
      <c r="H15" s="788"/>
      <c r="I15" s="218"/>
      <c r="J15" s="791"/>
    </row>
    <row r="16" spans="1:17" ht="15.75" customHeight="1" x14ac:dyDescent="0.2">
      <c r="A16" s="792"/>
      <c r="B16" s="217"/>
      <c r="C16" s="398" t="str">
        <f>IF(Francais,"   (seulement vendu avec logiciel)","   (sold with software only)")</f>
        <v xml:space="preserve">   (sold with software only)</v>
      </c>
      <c r="D16" s="790" t="str">
        <f>IF(RHIZO_ClientWithOrWithoutScanner=1,
IF(Francais,"• Lumière spéciale (LS) pour scanner Racines, Graines ou Aiguilles","• Special Light (SL) for Roots, Seeds and Needles scanning"),
"")</f>
        <v>• Special Light (SL) for Roots, Seeds and Needles scanning</v>
      </c>
      <c r="E16" s="790"/>
      <c r="G16" s="788"/>
      <c r="H16" s="788"/>
      <c r="I16" s="204"/>
      <c r="J16" s="791"/>
    </row>
    <row r="17" spans="1:11" ht="15.75" customHeight="1" x14ac:dyDescent="0.2">
      <c r="A17" s="792"/>
      <c r="B17" s="217"/>
      <c r="D17" s="593" t="str">
        <f>IF(Francais,
"• Calibration, Manuel Installation &amp; Utilisation Scanner pour " &amp; A2 &amp; IF(OR(A2="WinRHIZO™",A2="WinSEEDLE™")," &amp; vidéo","") &amp; ", Pilote TWAIN et support technique pour l'acquisition d'image de Racines.",
"• Calibration, Scanner Installation &amp; Utilisation for " &amp; A2 &amp; " manual" &amp; IF(OR(A2="WinRHIZO™",A2="WinSEEDLE™")," &amp; video","") &amp; ", TWAIN driver and Technical support for Roots image acquisition.")</f>
        <v>• Calibration, Scanner Installation &amp; Utilisation for WinRHIZO™ manual &amp; video, TWAIN driver and Technical support for Roots image acquisition.</v>
      </c>
      <c r="E17" s="593"/>
      <c r="I17" s="199"/>
    </row>
    <row r="18" spans="1:11" ht="8" customHeight="1" x14ac:dyDescent="0.2">
      <c r="A18" s="792"/>
      <c r="B18" s="217"/>
      <c r="D18" s="592"/>
      <c r="E18" s="592"/>
      <c r="F18" s="148"/>
      <c r="I18" s="199"/>
    </row>
    <row r="19" spans="1:11" x14ac:dyDescent="0.2">
      <c r="A19" s="792"/>
      <c r="B19" s="217"/>
      <c r="C19" s="16"/>
      <c r="H19" s="219"/>
      <c r="I19" s="199"/>
    </row>
    <row r="20" spans="1:11" x14ac:dyDescent="0.2">
      <c r="A20" s="792"/>
      <c r="B20" s="217"/>
      <c r="H20" s="219"/>
      <c r="I20" s="199"/>
    </row>
    <row r="21" spans="1:11" x14ac:dyDescent="0.2">
      <c r="A21" s="792"/>
      <c r="B21" s="217"/>
      <c r="C21" s="1" t="str">
        <f>IF(Francais,"• Positionneur de racines pour scanner ","• Roots Positioning System for ") &amp; IF(RHIZO_IndexScanner=1,"STD","LA") &amp; IF(Francais,""," Scanner")</f>
        <v>• Roots Positioning System for LA Scanner</v>
      </c>
      <c r="D21" s="1" t="str">
        <f>IF(RHIZO_PosiOrBlueBG_Checkbox,
IF(RHIZO_IndexScanner=1,
IF(Francais,"• Positionneur de racines pour scanner STD (3 Plats, Cadre, Blocs, Espaceurs, Fond bleu)","• Roots Positioning System for STD scanner (3 Trays, Frame, Blocks, Spacers, Blue background)"),
IF(Francais,"• Positionneur de racines pour scanner LA (5 Plats, Cadre, Blocs, Espaceurs, Fond bleu)","• Roots Positioning System for LA scanner (5 Trays, Frame, Blocks, Spacers, Blue background)")),
IF(Francais,"• Positionneur de racines non inclus","• No Roots Positioning System included"))</f>
        <v>• Roots Positioning System for LA scanner (5 Trays, Frame, Blocks, Spacers, Blue background)</v>
      </c>
      <c r="H21" s="15"/>
      <c r="I21" s="220"/>
    </row>
    <row r="22" spans="1:11" ht="18" customHeight="1" x14ac:dyDescent="0.2">
      <c r="A22"/>
      <c r="B22" s="481"/>
      <c r="C22" s="210" t="str">
        <f>IF(Francais, "Accessoires Optionnels","Optional Accessories")</f>
        <v>Optional Accessories</v>
      </c>
      <c r="D22" s="221"/>
      <c r="E22" s="212"/>
      <c r="F22" s="212"/>
      <c r="G22" s="222" t="str">
        <f>IF(Francais,"Sous-Total Accessoires : ","Sub-Total Accessories : ")</f>
        <v xml:space="preserve">Sub-Total Accessories : </v>
      </c>
      <c r="H22" s="213">
        <f>ROUND(G24*(RHIZO_Option1-1)
+G25*(RHIZO_Option2-1)
+G26*(RHIZO_Option3-1)
+G27*(RHIZO_Option4-1)
+G28*(RHIZO_Option5-1)
+G29*(RHIZO_Option6-1)
+G30*(RHIZO_Option7-1)
+G31*(RHIZO_Option8-1)
+G32*(RHIZO_Option9-1)
+G33*(RHIZO_Option10-1)
+G34*(RHIZO_Option11-1),0)</f>
        <v>0</v>
      </c>
      <c r="I22" s="223">
        <v>847330</v>
      </c>
    </row>
    <row r="23" spans="1:11" x14ac:dyDescent="0.2">
      <c r="A23" s="594"/>
      <c r="B23" s="205"/>
      <c r="C23" s="504" t="str">
        <f>IF(Francais,"Pour obtenir plus que ce qui est inclus dans un système","To get more than what is included in a system")</f>
        <v>To get more than what is included in a system</v>
      </c>
      <c r="D23" s="16" t="str">
        <f>IF(Francais,"   (avec l'achat ou la possession de WinRHIZO uniquement)","   (if you buy or own WinRHIZO only)")</f>
        <v xml:space="preserve">   (if you buy or own WinRHIZO only)</v>
      </c>
      <c r="E23" s="48"/>
      <c r="G23" s="15" t="str">
        <f>IF(Francais,"Prix Unitaire","Unit Price")</f>
        <v>Unit Price</v>
      </c>
      <c r="H23"/>
      <c r="I23" s="199"/>
    </row>
    <row r="24" spans="1:11" x14ac:dyDescent="0.2">
      <c r="A24" s="785" t="str">
        <f>IF(Checkbox_Updates=TRUE,
IF(Francais,"6) Choisir accessoires en extra si désiré. →","6) Choose extra accessories if you want. →"),
SUBSTITUTE(IF(Francais,"6) Choisir accessoires en extra si désiré. →","6) Choose extra accessories if you want. →"),"6)","5)"))</f>
        <v>5) Choose extra accessories if you want. →</v>
      </c>
      <c r="B24" s="205"/>
      <c r="C24" s="790" t="str">
        <f>IF(Francais,"Petits Plats pour Scanner STD &amp; LA","Small Trays for STD &amp; LA Scanner")</f>
        <v>Small Trays for STD &amp; LA Scanner</v>
      </c>
      <c r="D24" s="454" t="str">
        <f>IF(Francais,
"Ensemble de 2 Petits plats"  &amp; REPT(" ",35) &amp; " 15x20, 20x25 cm",
"Set of 2 Small trays" &amp; REPT(" ",34) &amp; " 15x20, 20x25 cm"
)</f>
        <v>Set of 2 Small trays                                   15x20, 20x25 cm</v>
      </c>
      <c r="E24" s="454"/>
      <c r="G24" s="167">
        <f>IF(RHIZO_Option12&lt;=NMaxTray,PrixTraySet2Small,0)</f>
        <v>133</v>
      </c>
      <c r="H24" s="168"/>
      <c r="I24" s="199"/>
    </row>
    <row r="25" spans="1:11" x14ac:dyDescent="0.2">
      <c r="A25" s="785"/>
      <c r="B25" s="205"/>
      <c r="C25" s="790"/>
      <c r="D25" s="455" t="str">
        <f>IF(Francais,
"Ensemble de 3 Petits plats"  &amp; REPT(" ",35) &amp; " 10x15, 15x20, 20x25 cm",
"Set of 3 Small trays" &amp; REPT(" ",34) &amp; " 10x15, 15x20, 20x25 cm"
)</f>
        <v>Set of 3 Small trays                                   10x15, 15x20, 20x25 cm</v>
      </c>
      <c r="E25" s="455"/>
      <c r="G25" s="167">
        <f>IF(RHIZO_Option12&lt;=NMaxTray,PrixTraySet3Small,0)</f>
        <v>195</v>
      </c>
      <c r="H25" s="168"/>
      <c r="I25" s="199"/>
      <c r="J25" s="543" t="str">
        <f>REPT(" ",19) &amp; "Not Nested Trays"</f>
        <v xml:space="preserve">                   Not Nested Trays</v>
      </c>
      <c r="K25" s="543"/>
    </row>
    <row r="26" spans="1:11" x14ac:dyDescent="0.2">
      <c r="A26" s="785"/>
      <c r="B26" s="205"/>
      <c r="C26" s="790"/>
      <c r="D26" s="455" t="str">
        <f>IF(Francais,
"Petit plat individuel"  &amp; REPT(" ",47) &amp; " 10x15 cm",
"Individual Small tray" &amp; REPT(" ",31) &amp; " 10x15 cm"
)</f>
        <v>Individual Small tray                                10x15 cm</v>
      </c>
      <c r="E26" s="455"/>
      <c r="G26" s="167">
        <f>IF(RHIZO_Option12&lt;=NMaxTray,PrixTray10x15cm,0)</f>
        <v>61</v>
      </c>
      <c r="H26" s="168"/>
      <c r="I26" s="199"/>
      <c r="J26" t="str">
        <f>REPT(" ",21) &amp; "They are piled up"</f>
        <v xml:space="preserve">                     They are piled up</v>
      </c>
    </row>
    <row r="27" spans="1:11" x14ac:dyDescent="0.2">
      <c r="B27" s="205"/>
      <c r="C27" s="790"/>
      <c r="D27" s="455" t="str">
        <f>IF(Francais,
"Petit plat individuel"  &amp; REPT(" ",47) &amp; " 15x20 cm",
"Individual Small tray" &amp; REPT(" ",31) &amp; " 15x20 cm"
)</f>
        <v>Individual Small tray                                15x20 cm</v>
      </c>
      <c r="E27" s="455"/>
      <c r="G27" s="167">
        <f>IF(RHIZO_Option12&lt;=NMaxTray,PrixTray15x20cm,0)</f>
        <v>67</v>
      </c>
      <c r="H27" s="168"/>
      <c r="I27" s="199"/>
    </row>
    <row r="28" spans="1:11" x14ac:dyDescent="0.2">
      <c r="B28" s="205"/>
      <c r="C28" s="790"/>
      <c r="D28" s="456" t="str">
        <f>IF(Francais,
"Petit plat individuel"  &amp; REPT(" ",47) &amp; " 20x25 cm",
"Individual Small tray" &amp; REPT(" ",31) &amp; " 20x25 cm"
)</f>
        <v>Individual Small tray                                20x25 cm</v>
      </c>
      <c r="E28" s="456"/>
      <c r="G28" s="167">
        <f>IF(RHIZO_Option12&lt;=NMaxTray,PrixTray20x25cm,0)</f>
        <v>73</v>
      </c>
      <c r="H28" s="168"/>
      <c r="I28" s="199"/>
    </row>
    <row r="29" spans="1:11" x14ac:dyDescent="0.2">
      <c r="B29" s="205"/>
      <c r="C29" s="786" t="str">
        <f>IF(Francais,"Moyens &amp; Larges Plats pour Scanner LA","Medium &amp; Large Trays for LA Scanner")</f>
        <v>Medium &amp; Large Trays for LA Scanner</v>
      </c>
      <c r="D29" s="461" t="str">
        <f>IF(Francais,
"Ensemble de 2 Moyens &amp; Larges plats"  &amp; REPT(" ",15) &amp; " 25x35, 30x40 cm",
"Set of 2 Medium &amp; Large trays" &amp; REPT(" ",13) &amp; " 25x35, 30x40 cm"
)</f>
        <v>Set of 2 Medium &amp; Large trays              25x35, 30x40 cm</v>
      </c>
      <c r="E29" s="461"/>
      <c r="G29" s="167">
        <f>IF(AND(RHIZO_IndexScanner=2, RHIZO_Option12&lt;=NMaxTray),PrixTraySet2MedLarge,0)</f>
        <v>193</v>
      </c>
      <c r="H29" s="168"/>
      <c r="I29" s="199"/>
    </row>
    <row r="30" spans="1:11" x14ac:dyDescent="0.2">
      <c r="B30" s="205"/>
      <c r="C30" s="786"/>
      <c r="D30" s="461" t="str">
        <f>IF(Francais,
"Ensemble de 3 Moyens &amp; Larges plats"  &amp; REPT(" ",15) &amp; " 20x30, 25x35, 30x40 cm",
"Set of 3 Medium &amp; Large trays" &amp; REPT(" ",13) &amp; " 20x30, 25x35, 30x40 cm"
)</f>
        <v>Set of 3 Medium &amp; Large trays              20x30, 25x35, 30x40 cm</v>
      </c>
      <c r="E30" s="461"/>
      <c r="G30" s="167">
        <f>IF(AND(RHIZO_IndexScanner=2, RHIZO_Option12&lt;=NMaxTray),PrixTraySet3MedLarge,0)</f>
        <v>273</v>
      </c>
      <c r="H30" s="168"/>
      <c r="I30" s="199"/>
      <c r="J30" s="544" t="str">
        <f>REPT(" ",16) &amp; "Nested Trays"</f>
        <v xml:space="preserve">                Nested Trays</v>
      </c>
      <c r="K30" s="544"/>
    </row>
    <row r="31" spans="1:11" x14ac:dyDescent="0.2">
      <c r="B31" s="205"/>
      <c r="C31" s="786"/>
      <c r="D31" s="461" t="str">
        <f>IF(Francais,
"Ensemble 5 Petits Moyens Larges plats"  &amp; REPT(" ",12) &amp; "  10x15, 15x20, 20x30, 25x35, 30x40 cm",
"Set of 5 Small Medium Large trays" &amp; REPT(" ",4) &amp; "  10x15, 15x20, 20x30, 25x35, 30x40 cm"
)</f>
        <v>Set of 5 Small Medium Large trays      10x15, 15x20, 20x30, 25x35, 30x40 cm</v>
      </c>
      <c r="E31" s="461"/>
      <c r="G31" s="167">
        <f>IF(AND(RHIZO_IndexScanner=2, RHIZO_Option12&lt;=NMaxTray),PrixTraySet5SmallMedLarge,0)</f>
        <v>401</v>
      </c>
      <c r="H31" s="168"/>
      <c r="I31" s="199"/>
      <c r="J31" t="str">
        <f>REPT(" ",18) &amp; "They are embedded"</f>
        <v xml:space="preserve">                  They are embedded</v>
      </c>
    </row>
    <row r="32" spans="1:11" x14ac:dyDescent="0.2">
      <c r="B32" s="205"/>
      <c r="C32" s="786"/>
      <c r="D32" s="461" t="str">
        <f>IF(Francais,
"Moyen plat individuel"  &amp; REPT(" ",43) &amp; " 20x30 cm",
"Individual Medium tray" &amp; REPT(" ",26) &amp; " 20x30 cm"
)</f>
        <v>Individual Medium tray                           20x30 cm</v>
      </c>
      <c r="E32" s="461"/>
      <c r="G32" s="167">
        <f>IF(AND(RHIZO_IndexScanner=2, RHIZO_Option12&lt;=NMaxTray),PrixTray20x30cm,0)</f>
        <v>78</v>
      </c>
      <c r="H32" s="168"/>
      <c r="I32" s="199"/>
      <c r="J32" t="str">
        <f>REPT(" ",18) &amp; " one into another."</f>
        <v xml:space="preserve">                   one into another.</v>
      </c>
    </row>
    <row r="33" spans="1:10" x14ac:dyDescent="0.2">
      <c r="B33" s="205"/>
      <c r="C33" s="786"/>
      <c r="D33" s="461" t="str">
        <f>IF(Francais,
"Moyen plat individuel"  &amp; REPT(" ",43) &amp; " 25x35 cm",
"Individual Medium tray" &amp; REPT(" ",26) &amp; " 25x35 cm"
)</f>
        <v>Individual Medium tray                           25x35 cm</v>
      </c>
      <c r="E33" s="461"/>
      <c r="G33" s="167">
        <f>IF(AND(RHIZO_IndexScanner=2, RHIZO_Option12&lt;=NMaxTray),PrixTray25x35cm,0)</f>
        <v>84</v>
      </c>
      <c r="H33" s="168"/>
      <c r="I33" s="199"/>
    </row>
    <row r="34" spans="1:10" x14ac:dyDescent="0.2">
      <c r="B34" s="224"/>
      <c r="C34" s="787"/>
      <c r="D34" s="457" t="str">
        <f>IF(Francais,
"Large plat individuel"  &amp; REPT(" ",46) &amp; " 30x40 cm",
"Individual Large tray" &amp; REPT(" ",32) &amp; " 30x40 cm"
)</f>
        <v>Individual Large tray                                 30x40 cm</v>
      </c>
      <c r="E34" s="458"/>
      <c r="F34" s="208"/>
      <c r="G34" s="167">
        <f>IF(AND(RHIZO_IndexScanner=2, RHIZO_Option12&lt;=NMaxTray),PrixTray30x40cm,0)</f>
        <v>106</v>
      </c>
      <c r="H34" s="168"/>
      <c r="I34" s="209"/>
    </row>
    <row r="35" spans="1:10" x14ac:dyDescent="0.2">
      <c r="E35" s="462" t="str">
        <f>IF(Francais,
"Nombre de plats (ne peut pas dépasser " &amp; NMaxTray &amp; ") : ",
"Number of selected trays (cannot exceed " &amp; NMaxTray &amp; ") : "
)</f>
        <v xml:space="preserve">Number of selected trays (cannot exceed 10) : </v>
      </c>
      <c r="F35" s="463">
        <f>RHIZO_Option12</f>
        <v>0</v>
      </c>
      <c r="G35" s="464" t="str">
        <f>IF(RHIZO_Option12&lt;=NMaxTray,"",IF(Francais,"TROP DE PLATS (MAXIMUM DE " &amp; NMaxTray &amp; "). Veuillez en retirer.","TOO MANY TRAYS (MAXIMUM IS " &amp; NMaxTray &amp; "). Please unselect some."))</f>
        <v/>
      </c>
    </row>
    <row r="36" spans="1:10"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Shipping cost of a set of nested trays (e.g. 1 x 20x30 cm + 1 x 25 x 35 cm + 1 x 30 x 40 cm) is much less than trays of the same size (e.g. 3 x 30 x 40 cm ) and the trays themselves cost less (when bought as a pre-defined set).</v>
      </c>
    </row>
    <row r="37" spans="1:10" x14ac:dyDescent="0.2">
      <c r="A37" s="439"/>
      <c r="B37" s="439"/>
      <c r="C37" s="439"/>
      <c r="D37" s="439"/>
      <c r="E37" s="441" t="str">
        <f>IF(Francais,"Pour des questions ou pour placer une commande, contactez:","For questions or to place an order contact: ")</f>
        <v xml:space="preserve">For questions or to place an order contact: </v>
      </c>
      <c r="F37" s="439" t="s">
        <v>164</v>
      </c>
      <c r="G37" s="439"/>
      <c r="H37" s="439"/>
      <c r="I37" s="439"/>
      <c r="J37" s="274"/>
    </row>
  </sheetData>
  <sheetProtection algorithmName="SHA-512" hashValue="61gJqe9etOgvdWdiFmqIh4UPZ9goGFAajE480Gbt7KbOUl0rrto8pha6pWBVS4jRqFa2TVQo8YyGky64iT0dtA==" saltValue="cbVEOuVdomJ+q4sjYL3R8A==" spinCount="100000" sheet="1" objects="1" scenarios="1" selectLockedCells="1"/>
  <mergeCells count="13">
    <mergeCell ref="J13:J16"/>
    <mergeCell ref="F5:I5"/>
    <mergeCell ref="A10:A12"/>
    <mergeCell ref="A5:A8"/>
    <mergeCell ref="J4:J10"/>
    <mergeCell ref="A14:A21"/>
    <mergeCell ref="A24:A26"/>
    <mergeCell ref="C29:C34"/>
    <mergeCell ref="G15:H16"/>
    <mergeCell ref="D14:E14"/>
    <mergeCell ref="D15:E15"/>
    <mergeCell ref="D16:E16"/>
    <mergeCell ref="C24:C28"/>
  </mergeCells>
  <phoneticPr fontId="24" type="noConversion"/>
  <conditionalFormatting sqref="D29:D34 G32:G34">
    <cfRule type="expression" dxfId="131" priority="63">
      <formula>IF(RHIZO_IndexScanner=1,1,0)</formula>
    </cfRule>
  </conditionalFormatting>
  <conditionalFormatting sqref="C23 D15:D17 D19:D21">
    <cfRule type="expression" dxfId="129" priority="50">
      <formula>NOT(Checkbox_Descriptions)</formula>
    </cfRule>
  </conditionalFormatting>
  <conditionalFormatting sqref="H2 H4 G11 G14 H13 H22">
    <cfRule type="expression" dxfId="128" priority="61">
      <formula>OR(IndexZone=5)</formula>
    </cfRule>
    <cfRule type="expression" dxfId="127" priority="62">
      <formula>OR(IndexZone=3, IndexZone=8, IndexZone=10)</formula>
    </cfRule>
  </conditionalFormatting>
  <conditionalFormatting sqref="D6:D7">
    <cfRule type="expression" dxfId="126" priority="22">
      <formula>NOT(Checkbox_Descriptions)</formula>
    </cfRule>
  </conditionalFormatting>
  <conditionalFormatting sqref="H14">
    <cfRule type="expression" dxfId="125" priority="21">
      <formula>ISTEXT($H$14)</formula>
    </cfRule>
  </conditionalFormatting>
  <conditionalFormatting sqref="D9">
    <cfRule type="expression" dxfId="124" priority="17">
      <formula>NOT(Checkbox_Descriptions)</formula>
    </cfRule>
  </conditionalFormatting>
  <conditionalFormatting sqref="A5">
    <cfRule type="expression" dxfId="123" priority="10">
      <formula>NOT(Checkbox_Instructions)</formula>
    </cfRule>
  </conditionalFormatting>
  <conditionalFormatting sqref="A10">
    <cfRule type="expression" dxfId="122" priority="9">
      <formula>NOT(Checkbox_Instructions)</formula>
    </cfRule>
  </conditionalFormatting>
  <conditionalFormatting sqref="A14">
    <cfRule type="expression" dxfId="121" priority="8">
      <formula>NOT(Checkbox_Instructions)</formula>
    </cfRule>
  </conditionalFormatting>
  <conditionalFormatting sqref="J4">
    <cfRule type="expression" dxfId="120" priority="6">
      <formula>NOT(Checkbox_Instructions)</formula>
    </cfRule>
  </conditionalFormatting>
  <conditionalFormatting sqref="F9">
    <cfRule type="expression" dxfId="119" priority="4">
      <formula>NOT(Checkbox_Instructions)</formula>
    </cfRule>
  </conditionalFormatting>
  <conditionalFormatting sqref="A24">
    <cfRule type="expression" dxfId="117" priority="1">
      <formula>NOT(Checkbox_Instructions)</formula>
    </cfRule>
  </conditionalFormatting>
  <dataValidations count="1">
    <dataValidation type="custom" allowBlank="1" showInputMessage="1" showErrorMessage="1" sqref="G15:H16 F5:I5" xr:uid="{00000000-0002-0000-0300-000000000000}">
      <formula1>"&lt;0&gt;0"</formula1>
    </dataValidation>
  </dataValidations>
  <hyperlinks>
    <hyperlink ref="F37" r:id="rId1" xr:uid="{00000000-0004-0000-0300-000000000000}"/>
  </hyperlinks>
  <pageMargins left="0.7" right="0.7" top="0.75" bottom="0.75" header="0.3" footer="0.3"/>
  <pageSetup scale="57"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2357" r:id="rId5"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12374" r:id="rId6" name="Drop Down 8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2384" r:id="rId7" name="Check Box 96">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2380"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2396" r:id="rId9" name="Drop Down 108">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2394" r:id="rId10" name="Drop Down 10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2383" r:id="rId11" name="Drop Down 9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2397" r:id="rId12" name="ScannerCheckbox">
              <controlPr defaultSize="0" autoFill="0" autoLine="0" autoPict="0">
                <anchor moveWithCells="1" sizeWithCells="1">
                  <from>
                    <xdr:col>1</xdr:col>
                    <xdr:colOff>101600</xdr:colOff>
                    <xdr:row>13</xdr:row>
                    <xdr:rowOff>355600</xdr:rowOff>
                  </from>
                  <to>
                    <xdr:col>2</xdr:col>
                    <xdr:colOff>749300</xdr:colOff>
                    <xdr:row>15</xdr:row>
                    <xdr:rowOff>25400</xdr:rowOff>
                  </to>
                </anchor>
              </controlPr>
            </control>
          </mc:Choice>
        </mc:AlternateContent>
        <mc:AlternateContent xmlns:mc="http://schemas.openxmlformats.org/markup-compatibility/2006">
          <mc:Choice Requires="x14">
            <control shapeId="12406" r:id="rId13"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12407" r:id="rId14"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12388" r:id="rId15" name="Drop Down 100">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2387" r:id="rId16" name="Drop Down 99">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2415" r:id="rId17" name="Drop Down 127">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2416" r:id="rId18" name="Drop Down 128">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12417" r:id="rId19" name="Drop Down 129">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12418" r:id="rId20" name="Drop Down 130">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12419" r:id="rId21" name="Drop Down 131">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2420" r:id="rId22" name="Drop Down 132">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12421" r:id="rId23" name="Drop Down 133">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12422" r:id="rId24" name="Drop Down 134">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12423" r:id="rId25" name="Drop Down 135">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mc:AlternateContent xmlns:mc="http://schemas.openxmlformats.org/markup-compatibility/2006">
          <mc:Choice Requires="x14">
            <control shapeId="12365" r:id="rId26"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7" tint="-0.499984740745262"/>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WinRHIZO Tron™ Price List V. 2025 in Euros Currency</v>
      </c>
      <c r="C1" s="411"/>
      <c r="G1" s="412"/>
      <c r="H1" s="15"/>
      <c r="I1" s="408" t="str">
        <f>IF(Francais,"Valide jusqu'au","Valid until")</f>
        <v>Valid until</v>
      </c>
    </row>
    <row r="2" spans="1:16" ht="28.25" customHeight="1" x14ac:dyDescent="0.2">
      <c r="A2" s="413" t="s">
        <v>184</v>
      </c>
      <c r="B2" s="403"/>
      <c r="C2" s="404"/>
      <c r="D2" s="404"/>
      <c r="E2" s="405" t="str">
        <f>LEFT(INDEX(RHIZOTRON_SoftwareFullNames,RHIZOTRON_IndexSoftware),FIND(" ",INDEX(RHIZOTRON_SoftwareFullNames,RHIZOTRON_IndexSoftware),FIND(" ",INDEX(RHIZOTRON_SoftwareFullNames,RHIZOTRON_IndexSoftware))+7)) &amp;
RHIZOTRON_YearMostRecent &amp;
IF(AND(RHIZOTRON_N_Software=1,RHIZOTRON_N_UpgradeUpdate&gt;1),IF(Francais," Mise à jour"," Update"),IF(Francais," Logiciel"," Software"))</f>
        <v>WinRHIZO Tron™ Reg 2025 Software</v>
      </c>
      <c r="F2" s="406"/>
      <c r="G2" s="405" t="s">
        <v>15</v>
      </c>
      <c r="H2" s="407">
        <f>(H11)+
IFERROR(#REF!,0)</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WinRHIZO Tron™,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82"/>
      <c r="C5" s="226" t="str">
        <f>$A$2&amp; IF(Francais," Modèle logiciel"," Software Model")</f>
        <v>WinRHIZO Tron™ Software Model</v>
      </c>
      <c r="D5" s="227"/>
      <c r="F5" s="793" t="str">
        <f>IF(Checkbox_Instructions,HYPERLINK("https://regentinstruments.com/assets/winrhizotron_about2.html?utm_source=PriceQuoteXLS",IF(Francais,"Cliquez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WinRHIZO Tron™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 XLRHIZO Tron™: " &amp; IF(Francais,"Logiciel pour analyse des données de " &amp;A2&amp; " (requiert MS Excel, non-inclus)","Software for " &amp;A2&amp; "'s data Analysis (requires MS Excel, not included)" )</f>
        <v>• XLRHIZO Tron™: Software for WinRHIZO Tron™'s data Analysis (requires MS Excel, not included)</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46"/>
      <c r="G9" s="446"/>
      <c r="H9" s="446"/>
      <c r="I9" s="434"/>
      <c r="J9" s="796"/>
      <c r="K9" s="428"/>
      <c r="L9" s="428"/>
      <c r="M9" s="428"/>
      <c r="N9" s="428"/>
      <c r="O9" s="428"/>
      <c r="P9" s="428"/>
    </row>
    <row r="10" spans="1:16" ht="8" customHeight="1" x14ac:dyDescent="0.2">
      <c r="A10" s="798" t="str">
        <f>IF(Francais,"2) Choisir combien de nouvelle(s)    → license(s).","2) Select how many new   → license(s).")</f>
        <v>2) Select how many new   → license(s).</v>
      </c>
      <c r="B10" s="200"/>
      <c r="D10" s="231"/>
      <c r="E10" s="7"/>
      <c r="F10" s="7"/>
      <c r="G10" s="201"/>
      <c r="H10"/>
      <c r="I10" s="427"/>
      <c r="J10" s="796"/>
      <c r="L10" s="203"/>
      <c r="P10" s="425"/>
    </row>
    <row r="11" spans="1:16" ht="31" customHeight="1" x14ac:dyDescent="0.2">
      <c r="A11" s="798"/>
      <c r="B11" s="483"/>
      <c r="C11" s="226" t="str">
        <f>IF(Francais,"Nouvelle(s) License(s) Logiciel " &amp; $A$2,"New "&amp;$A$2&amp;" Software License(s)")</f>
        <v>New WinRHIZO Tron™ Software License(s)</v>
      </c>
      <c r="D11" s="227"/>
      <c r="E11" s="227"/>
      <c r="F11" s="227"/>
      <c r="G11" s="229">
        <f>IFERROR(H11/(RHIZOTRON_N_Software-1),0)</f>
        <v>0</v>
      </c>
      <c r="H11" s="280">
        <f>ROUND((INDEX(RHIZOTRON_SoftwarePriceList,RHIZOTRON_IndexSoftware))*
IF(RHIZOTRON_N_Software-1=0,0,SUM(MMULT(
  _xlfn.MUNIT(
   RHIZOTRON_N_Software-1),
    INDEX(TableLists[Column10],RHIZOTRON_N_AlreadyHaveSoftware-1+2):
    INDEX(TableLists[Column10],(RHIZOTRON_N_AlreadyHaveSoftware-1+1)+(RHIZOTRON_N_Software-1))
))),0)</f>
        <v>0</v>
      </c>
      <c r="I11" s="230">
        <v>852349</v>
      </c>
      <c r="J11" s="203" t="str">
        <f>IF(Francais,"  Je possède", "  I own")</f>
        <v xml:space="preserve">  I own</v>
      </c>
      <c r="L11" s="203"/>
    </row>
    <row r="12" spans="1:16" x14ac:dyDescent="0.2">
      <c r="A12" s="798"/>
      <c r="B12" s="202"/>
      <c r="C12"/>
      <c r="D12"/>
      <c r="E12"/>
      <c r="F12"/>
      <c r="G12"/>
      <c r="H12"/>
      <c r="I12" s="204"/>
      <c r="J12" s="45"/>
    </row>
    <row r="13" spans="1:16" ht="15.75" customHeight="1" x14ac:dyDescent="0.2">
      <c r="A13" s="721"/>
      <c r="B13" s="206"/>
      <c r="C13" s="207"/>
      <c r="D13" s="207"/>
      <c r="E13" s="207"/>
      <c r="F13" s="207"/>
      <c r="G13" s="207"/>
      <c r="H13" s="207"/>
      <c r="I13" s="209"/>
      <c r="J13" s="797" t="str">
        <f>IF(Checkbox_Updates=FALSE,IF(Francais,"License(s) Logiciel " &amp; $A$2,$A$2&amp;" Software License(s)"),"")</f>
        <v>WinRHIZO Tron™ Software License(s)</v>
      </c>
    </row>
    <row r="14" spans="1:16" x14ac:dyDescent="0.2">
      <c r="A14" s="430"/>
      <c r="J14" s="797"/>
    </row>
    <row r="15" spans="1:16" x14ac:dyDescent="0.2">
      <c r="A15" s="439"/>
      <c r="B15" s="439"/>
      <c r="C15" s="439"/>
      <c r="D15" s="439"/>
      <c r="E15" s="441" t="str">
        <f>IF(Francais,"Pour des questions ou pour placer une commande, contactez:","For questions or to place an order contact: ")</f>
        <v xml:space="preserve">For questions or to place an order contact: </v>
      </c>
      <c r="F15" s="439" t="s">
        <v>164</v>
      </c>
      <c r="G15" s="439"/>
      <c r="H15" s="439"/>
      <c r="I15" s="439"/>
      <c r="J15" s="797"/>
    </row>
  </sheetData>
  <sheetProtection algorithmName="SHA-512" hashValue="c7cZvPzp1ontzb51iA44RL5ntZS2DVXHTek7zIkdbhAN2l0UH8i4Rp9zUhjzXO7y1DeYsE570FcNICPADU3jEA==" saltValue="TKkAIGaIuJzDXmYhhqynWw==" spinCount="100000" sheet="1" objects="1" scenarios="1" selectLockedCells="1"/>
  <mergeCells count="5">
    <mergeCell ref="J13:J15"/>
    <mergeCell ref="J4:J10"/>
    <mergeCell ref="A10:A12"/>
    <mergeCell ref="F5:I5"/>
    <mergeCell ref="A5:A8"/>
  </mergeCells>
  <conditionalFormatting sqref="H2 H4 G11">
    <cfRule type="expression" dxfId="115" priority="52">
      <formula>OR(IndexZone=5)</formula>
    </cfRule>
    <cfRule type="expression" dxfId="114" priority="53">
      <formula>OR(IndexZone=3, IndexZone=8, IndexZone=10)</formula>
    </cfRule>
  </conditionalFormatting>
  <conditionalFormatting sqref="D6:D7">
    <cfRule type="expression" dxfId="113" priority="18">
      <formula>NOT(Checkbox_Descriptions)</formula>
    </cfRule>
  </conditionalFormatting>
  <conditionalFormatting sqref="D9">
    <cfRule type="expression" dxfId="112" priority="17">
      <formula>NOT(Checkbox_Descriptions)</formula>
    </cfRule>
  </conditionalFormatting>
  <conditionalFormatting sqref="A5">
    <cfRule type="expression" dxfId="111" priority="14">
      <formula>NOT(Checkbox_Instructions)</formula>
    </cfRule>
  </conditionalFormatting>
  <conditionalFormatting sqref="A10">
    <cfRule type="expression" dxfId="110" priority="13">
      <formula>NOT(Checkbox_Instructions)</formula>
    </cfRule>
  </conditionalFormatting>
  <conditionalFormatting sqref="F9">
    <cfRule type="expression" dxfId="109" priority="10">
      <formula>NOT(Checkbox_Instructions)</formula>
    </cfRule>
  </conditionalFormatting>
  <conditionalFormatting sqref="J4">
    <cfRule type="expression" dxfId="107" priority="1">
      <formula>NOT(Checkbox_Instructions)</formula>
    </cfRule>
  </conditionalFormatting>
  <dataValidations count="1">
    <dataValidation type="custom" allowBlank="1" showInputMessage="1" showErrorMessage="1" sqref="F5:I5" xr:uid="{00000000-0002-0000-0400-000000000000}">
      <formula1>"&lt;0&gt;0"</formula1>
    </dataValidation>
  </dataValidations>
  <hyperlinks>
    <hyperlink ref="F15" r:id="rId1" xr:uid="{00000000-0004-0000-04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68609"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68612" r:id="rId7" name="Drop Down 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68613" r:id="rId8" name="Drop Down 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68616" r:id="rId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68614"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68618" r:id="rId11" name="Drop Down 10">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P3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WinSEEDLE™ Price List V. 2025 in Euros Currency</v>
      </c>
      <c r="C1" s="411"/>
      <c r="G1" s="412"/>
      <c r="H1" s="15"/>
      <c r="I1" s="408" t="str">
        <f>IF(Francais,"Valide jusqu'au","Valid until")</f>
        <v>Valid until</v>
      </c>
    </row>
    <row r="2" spans="1:16" ht="28.25" customHeight="1" x14ac:dyDescent="0.2">
      <c r="A2" s="413" t="s">
        <v>178</v>
      </c>
      <c r="B2" s="403"/>
      <c r="C2" s="404"/>
      <c r="D2" s="404"/>
      <c r="E2" s="405" t="str">
        <f>IF(AND(SEEDLE_N_Software=1,SEEDLE_N_UpgradeUpdate=1,SEEDLE_N_System&gt;1),
IF(Francais,"Système","")&amp;IF(SEEDLE_IndexScanner=1," STD4800"," LA2400")&amp;IF(Francais,""," System"),
IF(AND(SEEDLE_N_System&gt;1,Francais),"Système ","")&amp;LEFT(INDEX(SEEDLE_SoftwareFullNames,SEEDLE_IndexSoftware),FIND(" ",INDEX(SEEDLE_SoftwareFullNames,SEEDLE_IndexSoftware),FIND(" ",INDEX(SEEDLE_SoftwareFullNames,SEEDLE_IndexSoftware))+1))&amp;
SEEDLE_YearMostRecent&amp;
IF(SEEDLE_N_System&gt;1,IF(SEEDLE_IndexScanner=1," STD4800"," LA2400")&amp;IF(Francais,""," System"),IF(AND(SEEDLE_N_Software=1,SEEDLE_N_System=1,SEEDLE_N_UpgradeUpdate&gt;1),IF(Francais," Mise à jour"," Update"),IF(Francais," Logiciel"," Software"))))&amp;
IF(AND(SEEDLE_ClientWithOrWithoutScanner=2,SEEDLE_N_System&gt;1),IF(Francais," Sans Scanner"," Without Scanner"),IF(Francais," Avec Scanner"," With Scanner"))</f>
        <v>WinSEEDLE™ Reg 2025 Software With Scanner</v>
      </c>
      <c r="F2" s="406"/>
      <c r="G2" s="405" t="s">
        <v>15</v>
      </c>
      <c r="H2" s="407">
        <f>(H11)+IFERROR(#REF!,0)+IF(ISNUMBER(H14),H14,0)+H22</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WinSEEDLE™,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84"/>
      <c r="C5" s="243" t="str">
        <f>$A$2&amp; IF(Francais," Modèle logiciel"," Software Model")</f>
        <v>WinSEEDLE™ Software Model</v>
      </c>
      <c r="D5" s="244"/>
      <c r="F5" s="793" t="str">
        <f>IF(Checkbox_Instructions,HYPERLINK("https://regentinstruments.com/assets/" &amp; LOWER(LEFT($A$2,LEN($A$2)-1)) &amp; "_about.html?utm_source=PriceQuoteXLS",IF(Francais,"Cliquez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WinSEEDLE™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 XL" &amp; PROPER(SUBSTITUTE(A2,"Win","")) &amp; " " &amp; IF(Francais,"Logiciel pour analyse des données de " &amp;A2&amp; " (requiert MS Excel, non-inclus)","Software for " &amp;A2&amp; "'s data Analysis (requires MS Excel, not included)" )</f>
        <v>• XLSeedle™ Software for WinSEEDLE™'s data Analysis (requires MS Excel, not included)</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46"/>
      <c r="G9" s="446"/>
      <c r="H9" s="446"/>
      <c r="I9" s="434"/>
      <c r="J9" s="796"/>
      <c r="K9" s="428"/>
      <c r="L9" s="428"/>
      <c r="M9" s="428"/>
      <c r="N9" s="428"/>
      <c r="O9" s="428"/>
      <c r="P9" s="428"/>
    </row>
    <row r="10" spans="1:16" ht="8" customHeight="1" x14ac:dyDescent="0.2">
      <c r="A10" s="798" t="str">
        <f>IF(Francais,"2) Choisir combien de nouvelle(s)    → license(s).","2) Select how many new   → license(s).")</f>
        <v>2) Select how many new   → license(s).</v>
      </c>
      <c r="B10" s="200"/>
      <c r="D10" s="145"/>
      <c r="E10" s="7"/>
      <c r="F10" s="7"/>
      <c r="G10" s="201"/>
      <c r="H10"/>
      <c r="I10" s="427"/>
      <c r="J10" s="796"/>
      <c r="L10" s="203"/>
      <c r="P10" s="425"/>
    </row>
    <row r="11" spans="1:16" ht="31" customHeight="1" x14ac:dyDescent="0.2">
      <c r="A11" s="798"/>
      <c r="B11" s="485"/>
      <c r="C11" s="243" t="str">
        <f>IF(Francais,"Nouvelle(s) License(s) Logiciel " &amp; $A$2,"New "&amp;$A$2&amp;" Software License(s)")</f>
        <v>New WinSEEDLE™ Software License(s)</v>
      </c>
      <c r="D11" s="244"/>
      <c r="E11" s="244"/>
      <c r="F11" s="244"/>
      <c r="G11" s="246">
        <f>IFERROR(H11/(SEEDLE_N_Software-1),0)</f>
        <v>0</v>
      </c>
      <c r="H11" s="282">
        <f>ROUND((INDEX(SEEDLE_SoftwarePriceList,SEEDLE_IndexSoftware))*
IF(SEEDLE_N_Software-1=0,0,SUM(MMULT(
  _xlfn.MUNIT(
   SEEDLE_N_Software-1),
    INDEX(TableLists[Column10],SEEDLE_N_AlreadyHaveSoftware-1+2):
    INDEX(TableLists[Column10],(SEEDLE_N_AlreadyHaveSoftware-1+1)+(SEEDLE_N_Software-1))
))),0)</f>
        <v>0</v>
      </c>
      <c r="I11" s="247">
        <v>852349</v>
      </c>
      <c r="J11" s="203" t="str">
        <f>IF(Francais,"  Je possède", "  I own")</f>
        <v xml:space="preserve">  I own</v>
      </c>
    </row>
    <row r="12" spans="1:16" x14ac:dyDescent="0.2">
      <c r="A12" s="798"/>
      <c r="B12" s="202"/>
      <c r="C12"/>
      <c r="D12"/>
      <c r="E12"/>
      <c r="F12"/>
      <c r="G12"/>
      <c r="H12"/>
      <c r="I12" s="204"/>
      <c r="J12" s="45"/>
    </row>
    <row r="13" spans="1:16" ht="30" customHeight="1" x14ac:dyDescent="0.2">
      <c r="B13" s="187"/>
      <c r="C13" s="188" t="str">
        <f>IF(Francais,"Matériel","Hardware")</f>
        <v>Hardware</v>
      </c>
      <c r="D13" s="190"/>
      <c r="E13" s="190"/>
      <c r="F13" s="190"/>
      <c r="G13" s="191" t="str">
        <f>IF(Francais,"SOUS-TOTAL MATÉRIEL:","HARDWARE SUBTOTAL:")</f>
        <v>HARDWARE SUBTOTAL:</v>
      </c>
      <c r="H13" s="192">
        <f>IF(ISNUMBER(H14),H14,0)+H22</f>
        <v>0</v>
      </c>
      <c r="I13" s="215"/>
      <c r="J13" s="791" t="str">
        <f>IF(Checkbox_Updates=FALSE,IF(Francais,"License(s) Logiciel " &amp; $A$2,$A$2&amp;" Software License(s)"),"")</f>
        <v>WinSEEDLE™ Software License(s)</v>
      </c>
    </row>
    <row r="14" spans="1:16" ht="30.75" customHeight="1" x14ac:dyDescent="0.2">
      <c r="A14" s="792"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Select 1 or + → to get a system with or without a scanner and choose the model. "Without" is when you already have it or buy it locally.</v>
      </c>
      <c r="B14" s="485"/>
      <c r="C14" s="243" t="str">
        <f>IF(Francais,"Système " &amp; $A$2, $A$2 &amp; " System")</f>
        <v>WinSEEDLE™ System</v>
      </c>
      <c r="D14" s="800" t="str">
        <f>IF(Francais,
"Incluant:",
"Including:")</f>
        <v>Including:</v>
      </c>
      <c r="E14" s="800"/>
      <c r="F14" s="245"/>
      <c r="G14" s="248">
        <f>IFERROR(H14/(SEEDLE_N_System-1),0)</f>
        <v>0</v>
      </c>
      <c r="H14" s="283">
        <f>IF(AND(SEEDLE_N_Software=1,SEEDLE_N_UpgradeUpdate=1,NOT(SuperUser),SEEDLE_N_System&gt;1),IF(Francais,"vendu avec logiciel uniquement","sold with software only"),
ROUND((IF(SEEDLE_ClientWithOrWithoutScanner=1,
       IF(SEEDLE_IndexScanner=1,PrixSTD,PrixLAavecTPU),
       IF(SEEDLE_IndexScanner=1,STD_GenCalib_Drivers_Instr_Techsup,LA_GenCalib_Drivers_Instr_Techsup))
+IF(SEEDLE_PosiOrBlueBG_Checkbox,IF(SEEDLE_IndexScanner=1,PrixRootPosiSTD,PrixRootPosiLA),0)
)*(SEEDLE_N_System-1),0))</f>
        <v>0</v>
      </c>
      <c r="I14" s="247">
        <v>903149</v>
      </c>
      <c r="J14" s="791"/>
    </row>
    <row r="15" spans="1:16" ht="15.75" customHeight="1" x14ac:dyDescent="0.2">
      <c r="A15" s="792"/>
      <c r="B15" s="217"/>
      <c r="C15" s="397" t="str">
        <f>"• Scanner"</f>
        <v>• Scanner</v>
      </c>
      <c r="D15" s="790" t="str">
        <f>IF(SEEDLE_ClientWithOrWithoutScanner=1,
IF(Francais,
"• Documentation, logiciels et accessoires du manufacturier",
"• Manufacturer documentation, software and accessories"),
IF(Francais,"• Scanner non inclus","• No scanner included"))</f>
        <v>• No scanner included</v>
      </c>
      <c r="E15" s="790"/>
      <c r="G15" s="788" t="str">
        <f>IF(Checkbox_Instructions,HYPERLINK("https://regentinstruments.com/assets/ourscanners.html?utm_source=PriceQuoteXLS",IF(Francais,"Cliquez pour voir les spécifications de nos scanners","Click to view our scanners specifications")),"")</f>
        <v>Click to view our scanners specifications</v>
      </c>
      <c r="H15" s="788"/>
      <c r="I15" s="218"/>
      <c r="J15" s="791"/>
    </row>
    <row r="16" spans="1:16" ht="15.75" customHeight="1" x14ac:dyDescent="0.2">
      <c r="A16" s="792"/>
      <c r="B16" s="217"/>
      <c r="C16" s="398" t="str">
        <f>IF(Francais,"   (seulement vendu avec logiciel)","   (sold with software only)")</f>
        <v xml:space="preserve">   (sold with software only)</v>
      </c>
      <c r="D16" s="790" t="str">
        <f>IF(SEEDLE_ClientWithOrWithoutScanner=1,
IF(Francais,"• Lumière spéciale (LS) pour scanner Racines, Graines ou Aiguilles","• Special Light (SL) for Roots, Seeds and Needles scanning"),
"")</f>
        <v/>
      </c>
      <c r="E16" s="790"/>
      <c r="G16" s="788"/>
      <c r="H16" s="788"/>
      <c r="I16" s="204"/>
      <c r="J16" s="791"/>
    </row>
    <row r="17" spans="1:10" x14ac:dyDescent="0.2">
      <c r="A17" s="792"/>
      <c r="B17" s="217"/>
      <c r="D17" s="49" t="str">
        <f>IF(Francais,
"• Calibration, Manuel Installation &amp; Utilisation Scanner pour " &amp; A2 &amp; IF(OR(A2="WinRHIZO™",A2="WinSEEDLE™")," &amp; vidéo","") &amp; ", Pilote TWAIN et support technique pour l'acquisition d'image de Graines &amp; Aiguilles.",
"• Calibration, Scanner Installation &amp; Utilisation for " &amp; A2 &amp; " manual" &amp; IF(OR(A2="WinRHIZO™",A2="WinSEEDLE™")," &amp; video","") &amp; ", TWAIN driver and Technical support for Seeds &amp; Needles image acquisition.")</f>
        <v>• Calibration, Scanner Installation &amp; Utilisation for WinSEEDLE™ manual &amp; video, TWAIN driver and Technical support for Seeds &amp; Needles image acquisition.</v>
      </c>
      <c r="I17" s="199"/>
    </row>
    <row r="18" spans="1:10" ht="8" customHeight="1" x14ac:dyDescent="0.2">
      <c r="A18" s="792"/>
      <c r="B18" s="217"/>
      <c r="E18" s="148"/>
      <c r="F18" s="148"/>
      <c r="I18" s="204"/>
    </row>
    <row r="19" spans="1:10" ht="15.75" customHeight="1" x14ac:dyDescent="0.2">
      <c r="A19" s="792"/>
      <c r="B19" s="217"/>
      <c r="I19" s="204"/>
    </row>
    <row r="20" spans="1:10" ht="15.75" customHeight="1" x14ac:dyDescent="0.2">
      <c r="A20" s="792"/>
      <c r="B20" s="217"/>
      <c r="H20" s="219"/>
      <c r="I20" s="199"/>
    </row>
    <row r="21" spans="1:10" x14ac:dyDescent="0.2">
      <c r="A21" s="792"/>
      <c r="B21" s="217"/>
      <c r="C21" s="1" t="str">
        <f>IF(Francais,"• Positionneur de Graines &amp; Aiguilles pour scanner ","• Seeds &amp; Needles Positioning System for ") &amp; IF(RHIZO_IndexScanner=1,"STD","LA") &amp; IF(Francais,""," Scanner")</f>
        <v>• Seeds &amp; Needles Positioning System for LA Scanner</v>
      </c>
      <c r="D21" s="1" t="str">
        <f>IF(SEEDLE_PosiOrBlueBG_Checkbox,
IF(SEEDLE_IndexScanner=1,
IF(Francais,"• Positionneur de Graines &amp; Aiguilles pour scanner STD (3 Plats, Cadre, Blocs, Espaceurs, Fond bleu)","• Seeds &amp; Needles Positioning System for STD scanner 3 Trays, Frame, Blocks, Spacers, Blue background)"),
IF(Francais,"• Positionneur de Graines &amp; Aiguilles pour scanner LA (5 Plats, Cadre, Blocs, Espaceurs, Fond bleu)","• Seeds &amp; Needles Positioning System for LA scanner (5 Trays, Frame, Blocks, Spacers, Blue background)")),
IF(Francais,"• Positionneur de Graines &amp; Aiguilles non inclus","• No Seeds &amp; Needles Positioning System included"))</f>
        <v>• No Seeds &amp; Needles Positioning System included</v>
      </c>
      <c r="H21" s="15"/>
      <c r="I21" s="220"/>
    </row>
    <row r="22" spans="1:10" ht="18" customHeight="1" x14ac:dyDescent="0.2">
      <c r="B22" s="486"/>
      <c r="C22" s="243" t="str">
        <f>IF(Francais, "Accessoires Optionnels","Optional Accessories")</f>
        <v>Optional Accessories</v>
      </c>
      <c r="D22" s="249"/>
      <c r="E22" s="245"/>
      <c r="F22" s="245"/>
      <c r="G22" s="250" t="str">
        <f>IF(Francais,"Sous-Total Accessoires : ","Sub-Total Accessories : ")</f>
        <v xml:space="preserve">Sub-Total Accessories : </v>
      </c>
      <c r="H22" s="246">
        <f>ROUND(G24*(SEEDLE_Option1-1)
+G25*(SEEDLE_Option2-1)
+G26*(SEEDLE_Option3-1)
+G27*(SEEDLE_Option4-1)
+G28*(SEEDLE_Option5-1)
+G29*(SEEDLE_Option6-1)
+G30*(SEEDLE_Option7-1)
+G31*(SEEDLE_Option8-1)
+G32*(SEEDLE_Option9-1)
+G33*(SEEDLE_Option10-1)
+G34*(SEEDLE_Option11-1),0)</f>
        <v>0</v>
      </c>
      <c r="I22" s="247">
        <v>847330</v>
      </c>
    </row>
    <row r="23" spans="1:10" x14ac:dyDescent="0.2">
      <c r="B23" s="205"/>
      <c r="C23" s="504" t="str">
        <f>IF(Francais,"Pour obtenir plus que ce qui est inclus dans un système","To get more than what is included in a system")</f>
        <v>To get more than what is included in a system</v>
      </c>
      <c r="D23" s="16" t="str">
        <f>IF(Francais,"   (avec l'achat ou la possession de WinSEEDLE uniquement)","   (if you buy or own WinSEEDLE only)")</f>
        <v xml:space="preserve">   (if you buy or own WinSEEDLE only)</v>
      </c>
      <c r="E23" s="48"/>
      <c r="G23" s="15" t="str">
        <f>IF(Francais,"Prix Unitaire","Unit Price")</f>
        <v>Unit Price</v>
      </c>
      <c r="H23"/>
      <c r="I23" s="199"/>
    </row>
    <row r="24" spans="1:10" x14ac:dyDescent="0.2">
      <c r="A24" s="785" t="str">
        <f>IF(Checkbox_Updates=TRUE,
IF(Francais,"6) Choisir accessoires en extra si désiré. →","6) Choose extra accessories if you want. →"),
SUBSTITUTE(IF(Francais,"6) Choisir accessoires en extra si désiré. →","6) Choose extra accessories if you want. →"),"6)","5)"))</f>
        <v>5) Choose extra accessories if you want. →</v>
      </c>
      <c r="B24" s="205"/>
      <c r="C24" s="790" t="str">
        <f>IF(Francais,"Petits Plats pour Scanner STD &amp; LA","Small Trays for STD &amp; LA Scanner")</f>
        <v>Small Trays for STD &amp; LA Scanner</v>
      </c>
      <c r="D24" s="454" t="str">
        <f>IF(Francais,
"Ensemble de 2 Petits plats"  &amp; REPT(" ",35) &amp; " 15x20, 20x25 cm",
"Set of 2 Small trays" &amp; REPT(" ",34) &amp; " 15x20, 20x25 cm"
)</f>
        <v>Set of 2 Small trays                                   15x20, 20x25 cm</v>
      </c>
      <c r="E24" s="454"/>
      <c r="G24" s="167">
        <f>IF(SEEDLE_Option12&lt;=NMaxTray,PrixTraySet2Small,0)</f>
        <v>133</v>
      </c>
      <c r="H24" s="168"/>
      <c r="I24" s="199"/>
    </row>
    <row r="25" spans="1:10" x14ac:dyDescent="0.2">
      <c r="A25" s="785"/>
      <c r="B25" s="205"/>
      <c r="C25" s="790"/>
      <c r="D25" s="455" t="str">
        <f>IF(Francais,
"Ensemble de 3 Petits plats"  &amp; REPT(" ",35) &amp; " 10x15, 15x20, 20x25 cm",
"Set of 3 Small trays" &amp; REPT(" ",34) &amp; " 10x15, 15x20, 20x25 cm"
)</f>
        <v>Set of 3 Small trays                                   10x15, 15x20, 20x25 cm</v>
      </c>
      <c r="E25" s="455"/>
      <c r="G25" s="167">
        <f>IF(SEEDLE_Option12&lt;=NMaxTray,PrixTraySet3Small,0)</f>
        <v>195</v>
      </c>
      <c r="H25" s="168"/>
      <c r="I25" s="199"/>
      <c r="J25" s="543" t="str">
        <f>REPT(" ",19) &amp; "Not Nested Trays"</f>
        <v xml:space="preserve">                   Not Nested Trays</v>
      </c>
    </row>
    <row r="26" spans="1:10" x14ac:dyDescent="0.2">
      <c r="A26" s="785"/>
      <c r="B26" s="205"/>
      <c r="C26" s="790"/>
      <c r="D26" s="455" t="str">
        <f>IF(Francais,
"Petit plat individuel"  &amp; REPT(" ",47) &amp; " 10x15 cm",
"Individual Small tray" &amp; REPT(" ",31) &amp; " 10x15 cm"
)</f>
        <v>Individual Small tray                                10x15 cm</v>
      </c>
      <c r="E26" s="455"/>
      <c r="G26" s="167">
        <f>IF(SEEDLE_Option12&lt;=NMaxTray,PrixTray10x15cm,0)</f>
        <v>61</v>
      </c>
      <c r="H26" s="168"/>
      <c r="I26" s="199"/>
      <c r="J26" t="str">
        <f>REPT(" ",21) &amp; "They are piled up"</f>
        <v xml:space="preserve">                     They are piled up</v>
      </c>
    </row>
    <row r="27" spans="1:10" x14ac:dyDescent="0.2">
      <c r="B27" s="205"/>
      <c r="C27" s="790"/>
      <c r="D27" s="455" t="str">
        <f>IF(Francais,
"Petit plat individuel"  &amp; REPT(" ",47) &amp; " 15x20 cm",
"Individual Small tray" &amp; REPT(" ",31) &amp; " 15x20 cm"
)</f>
        <v>Individual Small tray                                15x20 cm</v>
      </c>
      <c r="E27" s="455"/>
      <c r="G27" s="167">
        <f>IF(SEEDLE_Option12&lt;=NMaxTray,PrixTray15x20cm,0)</f>
        <v>67</v>
      </c>
      <c r="H27" s="168"/>
      <c r="I27" s="199"/>
    </row>
    <row r="28" spans="1:10" x14ac:dyDescent="0.2">
      <c r="B28" s="205"/>
      <c r="C28" s="790"/>
      <c r="D28" s="456" t="str">
        <f>IF(Francais,
"Petit plat individuel"  &amp; REPT(" ",47) &amp; " 20x25 cm",
"Individual Small tray" &amp; REPT(" ",31) &amp; " 20x25 cm"
)</f>
        <v>Individual Small tray                                20x25 cm</v>
      </c>
      <c r="E28" s="456"/>
      <c r="G28" s="167">
        <f>IF(SEEDLE_Option12&lt;=NMaxTray,PrixTray20x25cm,0)</f>
        <v>73</v>
      </c>
      <c r="H28" s="168"/>
      <c r="I28" s="199"/>
    </row>
    <row r="29" spans="1:10" x14ac:dyDescent="0.2">
      <c r="B29" s="205"/>
      <c r="C29" s="786" t="str">
        <f>IF(Francais,"Moyens &amp; Larges Plats pour Scanner LA","Medium &amp; Large Trays for LA Scanner")</f>
        <v>Medium &amp; Large Trays for LA Scanner</v>
      </c>
      <c r="D29" s="461" t="str">
        <f>IF(Francais,
"Ensemble de 2 Moyens &amp; Larges plats"  &amp; REPT(" ",15) &amp; " 25x35, 30x40 cm",
"Set of 2 Medium &amp; Large trays" &amp; REPT(" ",13) &amp; " 25x35, 30x40 cm"
)</f>
        <v>Set of 2 Medium &amp; Large trays              25x35, 30x40 cm</v>
      </c>
      <c r="E29" s="461"/>
      <c r="G29" s="167">
        <f>IF(AND(SEEDLE_IndexScanner=2, SEEDLE_Option12&lt;=NMaxTray),PrixTraySet2MedLarge,0)</f>
        <v>0</v>
      </c>
      <c r="H29" s="168"/>
      <c r="I29" s="199"/>
    </row>
    <row r="30" spans="1:10" x14ac:dyDescent="0.2">
      <c r="B30" s="205"/>
      <c r="C30" s="786"/>
      <c r="D30" s="461" t="str">
        <f>IF(Francais,
"Ensemble de 3 Moyens &amp; Larges plats"  &amp; REPT(" ",15) &amp; " 20x30, 25x35, 30x40 cm",
"Set of 3 Medium &amp; Large trays" &amp; REPT(" ",13) &amp; " 20x30, 25x35, 30x40 cm"
)</f>
        <v>Set of 3 Medium &amp; Large trays              20x30, 25x35, 30x40 cm</v>
      </c>
      <c r="E30" s="461"/>
      <c r="G30" s="167">
        <f>IF(AND(SEEDLE_IndexScanner=2, SEEDLE_Option12&lt;=NMaxTray),PrixTraySet3MedLarge,0)</f>
        <v>0</v>
      </c>
      <c r="H30" s="168"/>
      <c r="I30" s="199"/>
      <c r="J30" s="544" t="str">
        <f>REPT(" ",16) &amp; "Nested Trays"</f>
        <v xml:space="preserve">                Nested Trays</v>
      </c>
    </row>
    <row r="31" spans="1:10" x14ac:dyDescent="0.2">
      <c r="B31" s="205"/>
      <c r="C31" s="786"/>
      <c r="D31" s="461" t="str">
        <f>IF(Francais,
"Ensemble 5 Petits Moyens Larges plats"  &amp; REPT(" ",12) &amp; "  10x15, 15x20, 20x30, 25x35, 30x40 cm",
"Set of 5 Small Medium Large trays" &amp; REPT(" ",4) &amp; "  10x15, 15x20, 20x30, 25x35, 30x40 cm"
)</f>
        <v>Set of 5 Small Medium Large trays      10x15, 15x20, 20x30, 25x35, 30x40 cm</v>
      </c>
      <c r="E31" s="461"/>
      <c r="G31" s="167">
        <f>IF(AND(SEEDLE_IndexScanner=2, SEEDLE_Option12&lt;=NMaxTray),PrixTraySet5SmallMedLarge,0)</f>
        <v>0</v>
      </c>
      <c r="H31" s="168"/>
      <c r="I31" s="199"/>
      <c r="J31" t="str">
        <f>REPT(" ",18) &amp; "They are embedded"</f>
        <v xml:space="preserve">                  They are embedded</v>
      </c>
    </row>
    <row r="32" spans="1:10" x14ac:dyDescent="0.2">
      <c r="B32" s="205"/>
      <c r="C32" s="786"/>
      <c r="D32" s="461" t="str">
        <f>IF(Francais,
"Moyen plat individuel"  &amp; REPT(" ",43) &amp; " 20x30 cm",
"Individual Medium tray" &amp; REPT(" ",26) &amp; " 20x30 cm"
)</f>
        <v>Individual Medium tray                           20x30 cm</v>
      </c>
      <c r="E32" s="461"/>
      <c r="G32" s="167">
        <f>IF(AND(SEEDLE_IndexScanner=2, SEEDLE_Option12&lt;=NMaxTray),PrixTray20x30cm,0)</f>
        <v>0</v>
      </c>
      <c r="H32" s="168"/>
      <c r="I32" s="199"/>
      <c r="J32" t="str">
        <f>REPT(" ",18) &amp; " one into another."</f>
        <v xml:space="preserve">                   one into another.</v>
      </c>
    </row>
    <row r="33" spans="1:9" x14ac:dyDescent="0.2">
      <c r="B33" s="205"/>
      <c r="C33" s="786"/>
      <c r="D33" s="461" t="str">
        <f>IF(Francais,
"Moyen plat individuel"  &amp; REPT(" ",43) &amp; " 25x35 cm",
"Individual Medium tray" &amp; REPT(" ",26) &amp; " 25x35 cm"
)</f>
        <v>Individual Medium tray                           25x35 cm</v>
      </c>
      <c r="E33" s="461"/>
      <c r="G33" s="167">
        <f>IF(AND(SEEDLE_IndexScanner=2, SEEDLE_Option12&lt;=NMaxTray),PrixTray25x35cm,0)</f>
        <v>0</v>
      </c>
      <c r="H33" s="168"/>
      <c r="I33" s="199"/>
    </row>
    <row r="34" spans="1:9" x14ac:dyDescent="0.2">
      <c r="B34" s="224"/>
      <c r="C34" s="787"/>
      <c r="D34" s="457" t="str">
        <f>IF(Francais,
"Large plat individuel"  &amp; REPT(" ",46) &amp; " 30x40 cm",
"Individual Large tray" &amp; REPT(" ",32) &amp; " 30x40 cm"
)</f>
        <v>Individual Large tray                                 30x40 cm</v>
      </c>
      <c r="E34" s="458"/>
      <c r="F34" s="208"/>
      <c r="G34" s="167">
        <f>IF(AND(SEEDLE_IndexScanner=2, SEEDLE_Option12&lt;=NMaxTray),PrixTray30x40cm,0)</f>
        <v>0</v>
      </c>
      <c r="H34" s="168"/>
      <c r="I34" s="209"/>
    </row>
    <row r="35" spans="1:9" x14ac:dyDescent="0.2">
      <c r="E35" s="462" t="str">
        <f>IF(Francais,
"Nombre de plats (ne peut pas dépasser " &amp; NMaxTray &amp; ") : ",
"Number of selected trays (cannot exceed " &amp; NMaxTray &amp; ") : "
)</f>
        <v xml:space="preserve">Number of selected trays (cannot exceed 10) : </v>
      </c>
      <c r="F35" s="463">
        <f>SEEDLE_Option12</f>
        <v>0</v>
      </c>
      <c r="G35" s="464" t="str">
        <f>IF(SEEDLE_Option12&lt;=NMaxTray,"",IF(Francais,"TROP DE PLATS (MAXIMUM DE " &amp; NMaxTray &amp; "). Veuillez en retirer.","TOO MANY TRAYS (MAXIMUM IS " &amp; NMaxTray &amp; "). Please unselect some."))</f>
        <v/>
      </c>
    </row>
    <row r="36" spans="1:9" x14ac:dyDescent="0.2">
      <c r="B36" s="16" t="str">
        <f>IF(Francais,
CONCATENATE("Note: Les frais d'expédition de plats emboités (p.ex. 1 x 20x30 cm + 1 x 25 x 35 cm + 1 x 30 x 40 cm)"," est nettement inférieure à celle de plats de même taille (p.ex. 3 x 30 x 40 cm ) et les plateaux eux-mêmes coûtent moins cher (si achetés en ensemble prédéfini)."),
"Note: Shipping cost of a set of nested trays (e.g. 1 x 20x30 cm + 1 x 25 x 35 cm + 1 x 30 x 40 cm) is much less than trays of the same size (e.g. 3 x 30 x 40 cm ) and the trays themselves cost less (when bought as a pre-defined set).")</f>
        <v>Note: Shipping cost of a set of nested trays (e.g. 1 x 20x30 cm + 1 x 25 x 35 cm + 1 x 30 x 40 cm) is much less than trays of the same size (e.g. 3 x 30 x 40 cm ) and the trays themselves cost less (when bought as a pre-defined set).</v>
      </c>
    </row>
    <row r="37" spans="1:9" x14ac:dyDescent="0.2">
      <c r="A37" s="439"/>
      <c r="B37" s="439"/>
      <c r="C37" s="439"/>
      <c r="D37" s="439"/>
      <c r="E37" s="441" t="str">
        <f>IF(Francais,"Pour des questions ou pour placer une commande, contactez:","For questions or to place an order contact: ")</f>
        <v xml:space="preserve">For questions or to place an order contact: </v>
      </c>
      <c r="F37" s="439" t="s">
        <v>164</v>
      </c>
      <c r="G37" s="439"/>
      <c r="H37" s="439"/>
      <c r="I37" s="439"/>
    </row>
  </sheetData>
  <sheetProtection algorithmName="SHA-512" hashValue="LGmyEVZ3r/koKUmO4z9+7nzykXqJScOPGAYe4C3+Q+Rr9B9VX/Meb39oKjHpJl+TPgToXIzZcccQ+8KxdVg7Pg==" saltValue="7LihVHZqAXjXAdkIBKSyMw==" spinCount="100000" sheet="1" objects="1" scenarios="1" selectLockedCells="1"/>
  <mergeCells count="13">
    <mergeCell ref="A24:A26"/>
    <mergeCell ref="J4:J10"/>
    <mergeCell ref="C29:C34"/>
    <mergeCell ref="A10:A12"/>
    <mergeCell ref="D15:E15"/>
    <mergeCell ref="F5:I5"/>
    <mergeCell ref="D14:E14"/>
    <mergeCell ref="A5:A8"/>
    <mergeCell ref="J13:J16"/>
    <mergeCell ref="G15:H16"/>
    <mergeCell ref="A14:A21"/>
    <mergeCell ref="D16:E16"/>
    <mergeCell ref="C24:C28"/>
  </mergeCells>
  <conditionalFormatting sqref="D15:D16 D18:D21">
    <cfRule type="expression" dxfId="105" priority="75">
      <formula>NOT(Checkbox_Descriptions)</formula>
    </cfRule>
  </conditionalFormatting>
  <conditionalFormatting sqref="H2 H4 G11 H13 G14 H22">
    <cfRule type="expression" dxfId="104" priority="78">
      <formula>OR(IndexZone=5)</formula>
    </cfRule>
    <cfRule type="expression" dxfId="103" priority="79">
      <formula>OR(IndexZone=3, IndexZone=8, IndexZone=10)</formula>
    </cfRule>
  </conditionalFormatting>
  <conditionalFormatting sqref="H14">
    <cfRule type="expression" dxfId="102" priority="47">
      <formula>ISTEXT($H$14)</formula>
    </cfRule>
  </conditionalFormatting>
  <conditionalFormatting sqref="D6:D7">
    <cfRule type="expression" dxfId="101" priority="30">
      <formula>NOT(Checkbox_Descriptions)</formula>
    </cfRule>
  </conditionalFormatting>
  <conditionalFormatting sqref="D9">
    <cfRule type="expression" dxfId="100" priority="29">
      <formula>NOT(Checkbox_Descriptions)</formula>
    </cfRule>
  </conditionalFormatting>
  <conditionalFormatting sqref="A5">
    <cfRule type="expression" dxfId="99" priority="26">
      <formula>NOT(Checkbox_Instructions)</formula>
    </cfRule>
  </conditionalFormatting>
  <conditionalFormatting sqref="A10">
    <cfRule type="expression" dxfId="98" priority="25">
      <formula>NOT(Checkbox_Instructions)</formula>
    </cfRule>
  </conditionalFormatting>
  <conditionalFormatting sqref="F9">
    <cfRule type="expression" dxfId="97" priority="20">
      <formula>NOT(Checkbox_Instructions)</formula>
    </cfRule>
  </conditionalFormatting>
  <conditionalFormatting sqref="G32:G34">
    <cfRule type="expression" dxfId="96" priority="9">
      <formula>IF(RHIZO_IndexScanner=1,1,0)</formula>
    </cfRule>
  </conditionalFormatting>
  <conditionalFormatting sqref="C23">
    <cfRule type="expression" dxfId="95" priority="8">
      <formula>NOT(Checkbox_Descriptions)</formula>
    </cfRule>
  </conditionalFormatting>
  <conditionalFormatting sqref="D29:D34">
    <cfRule type="expression" dxfId="94" priority="7">
      <formula>IF(SEEDLE_IndexScanner=1,1,0)</formula>
    </cfRule>
  </conditionalFormatting>
  <conditionalFormatting sqref="D17">
    <cfRule type="expression" dxfId="93" priority="6">
      <formula>NOT(Checkbox_Descriptions)</formula>
    </cfRule>
  </conditionalFormatting>
  <conditionalFormatting sqref="A14">
    <cfRule type="expression" dxfId="92" priority="4">
      <formula>NOT(Checkbox_Instructions)</formula>
    </cfRule>
  </conditionalFormatting>
  <conditionalFormatting sqref="J4">
    <cfRule type="expression" dxfId="90" priority="2">
      <formula>NOT(Checkbox_Instructions)</formula>
    </cfRule>
  </conditionalFormatting>
  <conditionalFormatting sqref="A24">
    <cfRule type="expression" dxfId="89" priority="1">
      <formula>NOT(Checkbox_Instructions)</formula>
    </cfRule>
  </conditionalFormatting>
  <dataValidations count="1">
    <dataValidation type="custom" allowBlank="1" showInputMessage="1" showErrorMessage="1" sqref="G15:H16 F5" xr:uid="{00000000-0002-0000-0500-000000000000}">
      <formula1>"&lt;0&gt;0"</formula1>
    </dataValidation>
  </dataValidations>
  <hyperlinks>
    <hyperlink ref="F37" r:id="rId1" xr:uid="{00000000-0004-0000-0500-000000000000}"/>
  </hyperlinks>
  <pageMargins left="0.7" right="0.7" top="0.75" bottom="0.75" header="0.3" footer="0.3"/>
  <pageSetup scale="49"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089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090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091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091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8091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0928" r:id="rId10" name="Drop Down 32">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0912" r:id="rId11"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0911" r:id="rId12"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0929" r:id="rId13" name="ScannerCheckbox">
              <controlPr defaultSize="0" autoFill="0" autoLine="0" autoPict="0">
                <anchor moveWithCells="1" sizeWithCells="1">
                  <from>
                    <xdr:col>1</xdr:col>
                    <xdr:colOff>101600</xdr:colOff>
                    <xdr:row>13</xdr:row>
                    <xdr:rowOff>355600</xdr:rowOff>
                  </from>
                  <to>
                    <xdr:col>2</xdr:col>
                    <xdr:colOff>736600</xdr:colOff>
                    <xdr:row>15</xdr:row>
                    <xdr:rowOff>25400</xdr:rowOff>
                  </to>
                </anchor>
              </controlPr>
            </control>
          </mc:Choice>
        </mc:AlternateContent>
        <mc:AlternateContent xmlns:mc="http://schemas.openxmlformats.org/markup-compatibility/2006">
          <mc:Choice Requires="x14">
            <control shapeId="80932" r:id="rId14"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0930" r:id="rId15"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0935" r:id="rId16" name="Drop Down 39">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0936" r:id="rId17" name="Drop Down 4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0937" r:id="rId18" name="Drop Down 41">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0938" r:id="rId19" name="Drop Down 42">
              <controlPr defaultSize="0" autoLine="0" autoPict="0">
                <anchor moveWithCells="1" sizeWithCells="1">
                  <from>
                    <xdr:col>5</xdr:col>
                    <xdr:colOff>368300</xdr:colOff>
                    <xdr:row>28</xdr:row>
                    <xdr:rowOff>25400</xdr:rowOff>
                  </from>
                  <to>
                    <xdr:col>5</xdr:col>
                    <xdr:colOff>749300</xdr:colOff>
                    <xdr:row>28</xdr:row>
                    <xdr:rowOff>177800</xdr:rowOff>
                  </to>
                </anchor>
              </controlPr>
            </control>
          </mc:Choice>
        </mc:AlternateContent>
        <mc:AlternateContent xmlns:mc="http://schemas.openxmlformats.org/markup-compatibility/2006">
          <mc:Choice Requires="x14">
            <control shapeId="80939" r:id="rId20" name="Drop Down 43">
              <controlPr defaultSize="0" autoLine="0" autoPict="0">
                <anchor moveWithCells="1" sizeWithCells="1">
                  <from>
                    <xdr:col>5</xdr:col>
                    <xdr:colOff>368300</xdr:colOff>
                    <xdr:row>29</xdr:row>
                    <xdr:rowOff>25400</xdr:rowOff>
                  </from>
                  <to>
                    <xdr:col>5</xdr:col>
                    <xdr:colOff>749300</xdr:colOff>
                    <xdr:row>29</xdr:row>
                    <xdr:rowOff>177800</xdr:rowOff>
                  </to>
                </anchor>
              </controlPr>
            </control>
          </mc:Choice>
        </mc:AlternateContent>
        <mc:AlternateContent xmlns:mc="http://schemas.openxmlformats.org/markup-compatibility/2006">
          <mc:Choice Requires="x14">
            <control shapeId="80940" r:id="rId21" name="Drop Down 44">
              <controlPr defaultSize="0" autoLine="0" autoPict="0">
                <anchor moveWithCells="1" sizeWithCells="1">
                  <from>
                    <xdr:col>5</xdr:col>
                    <xdr:colOff>368300</xdr:colOff>
                    <xdr:row>30</xdr:row>
                    <xdr:rowOff>25400</xdr:rowOff>
                  </from>
                  <to>
                    <xdr:col>5</xdr:col>
                    <xdr:colOff>749300</xdr:colOff>
                    <xdr:row>30</xdr:row>
                    <xdr:rowOff>177800</xdr:rowOff>
                  </to>
                </anchor>
              </controlPr>
            </control>
          </mc:Choice>
        </mc:AlternateContent>
        <mc:AlternateContent xmlns:mc="http://schemas.openxmlformats.org/markup-compatibility/2006">
          <mc:Choice Requires="x14">
            <control shapeId="80941" r:id="rId22" name="Drop Down 45">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80942" r:id="rId23" name="Drop Down 46">
              <controlPr defaultSize="0" autoLine="0" autoPict="0">
                <anchor moveWithCells="1" sizeWithCells="1">
                  <from>
                    <xdr:col>5</xdr:col>
                    <xdr:colOff>368300</xdr:colOff>
                    <xdr:row>27</xdr:row>
                    <xdr:rowOff>25400</xdr:rowOff>
                  </from>
                  <to>
                    <xdr:col>5</xdr:col>
                    <xdr:colOff>749300</xdr:colOff>
                    <xdr:row>27</xdr:row>
                    <xdr:rowOff>177800</xdr:rowOff>
                  </to>
                </anchor>
              </controlPr>
            </control>
          </mc:Choice>
        </mc:AlternateContent>
        <mc:AlternateContent xmlns:mc="http://schemas.openxmlformats.org/markup-compatibility/2006">
          <mc:Choice Requires="x14">
            <control shapeId="80943" r:id="rId24" name="Drop Down 47">
              <controlPr defaultSize="0" autoLine="0" autoPict="0">
                <anchor moveWithCells="1" sizeWithCells="1">
                  <from>
                    <xdr:col>5</xdr:col>
                    <xdr:colOff>368300</xdr:colOff>
                    <xdr:row>31</xdr:row>
                    <xdr:rowOff>25400</xdr:rowOff>
                  </from>
                  <to>
                    <xdr:col>5</xdr:col>
                    <xdr:colOff>749300</xdr:colOff>
                    <xdr:row>31</xdr:row>
                    <xdr:rowOff>177800</xdr:rowOff>
                  </to>
                </anchor>
              </controlPr>
            </control>
          </mc:Choice>
        </mc:AlternateContent>
        <mc:AlternateContent xmlns:mc="http://schemas.openxmlformats.org/markup-compatibility/2006">
          <mc:Choice Requires="x14">
            <control shapeId="80944" r:id="rId25" name="Drop Down 48">
              <controlPr defaultSize="0" autoLine="0" autoPict="0">
                <anchor moveWithCells="1" sizeWithCells="1">
                  <from>
                    <xdr:col>5</xdr:col>
                    <xdr:colOff>368300</xdr:colOff>
                    <xdr:row>32</xdr:row>
                    <xdr:rowOff>25400</xdr:rowOff>
                  </from>
                  <to>
                    <xdr:col>5</xdr:col>
                    <xdr:colOff>749300</xdr:colOff>
                    <xdr:row>32</xdr:row>
                    <xdr:rowOff>177800</xdr:rowOff>
                  </to>
                </anchor>
              </controlPr>
            </control>
          </mc:Choice>
        </mc:AlternateContent>
        <mc:AlternateContent xmlns:mc="http://schemas.openxmlformats.org/markup-compatibility/2006">
          <mc:Choice Requires="x14">
            <control shapeId="80945" r:id="rId26" name="Drop Down 49">
              <controlPr defaultSize="0" autoLine="0" autoPict="0">
                <anchor moveWithCells="1" sizeWithCells="1">
                  <from>
                    <xdr:col>5</xdr:col>
                    <xdr:colOff>368300</xdr:colOff>
                    <xdr:row>33</xdr:row>
                    <xdr:rowOff>25400</xdr:rowOff>
                  </from>
                  <to>
                    <xdr:col>5</xdr:col>
                    <xdr:colOff>749300</xdr:colOff>
                    <xdr:row>33</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WinFOLIA™ Price List V. 2025 in Euros Currency</v>
      </c>
      <c r="C1" s="411"/>
      <c r="G1" s="412"/>
      <c r="H1" s="15"/>
      <c r="I1" s="408" t="str">
        <f>IF(Francais,"Valide jusqu'au","Valid until")</f>
        <v>Valid until</v>
      </c>
    </row>
    <row r="2" spans="1:16" ht="28.25" customHeight="1" x14ac:dyDescent="0.2">
      <c r="A2" s="413" t="s">
        <v>179</v>
      </c>
      <c r="B2" s="403"/>
      <c r="C2" s="404"/>
      <c r="D2" s="404"/>
      <c r="E2" s="405" t="str">
        <f>IF(AND(FOLIA_N_Software=1,FOLIA_N_UpgradeUpdate=1,FOLIA_N_System&gt;1),
IF(Francais,"Système","")&amp;IF(FOLIA_IndexScanner=1," STD4800","")&amp;IF(FOLIA_IndexScanner=2," LA2400","")&amp;IF(FOLIA_IndexScanner=3," LC4800","")&amp;IF(Francais,""," System"),
IF(AND(FOLIA_N_System&gt;1,Francais),"Système ","")&amp;LEFT(INDEX(FOLIA_SoftwareFullNames,FOLIA_IndexSoftware),FIND(" ",INDEX(FOLIA_SoftwareFullNames,FOLIA_IndexSoftware),FIND(" ",INDEX(FOLIA_SoftwareFullNames,FOLIA_IndexSoftware))+1)) &amp;
FOLIA_YearMostRecent &amp;
IF(FOLIA_N_System&gt;1,IF(FOLIA_IndexScanner=1," STD4800","")&amp;IF(FOLIA_IndexScanner=2," LA2400","")&amp;IF(FOLIA_IndexScanner=3," LC4800","")&amp;IF(Francais,""," System"),IF(AND(FOLIA_N_Software=1,FOLIA_N_System=1,FOLIA_N_UpgradeUpdate&gt;1),IF(Francais," Mise à jour"," Update"),IF(Francais," Logiciel"," Software")))) &amp;
IF(AND(FOLIA_ClientWithOrWithoutScanner=2,FOLIA_N_System&gt;1),IF(Francais," Sans Scanner"," Without Scanner"),IF(Francais," Avec Scanner"," With Scanner"))</f>
        <v>WinFOLIA™ Reg 2025 Software With Scanner</v>
      </c>
      <c r="F2" s="406"/>
      <c r="G2" s="405" t="s">
        <v>15</v>
      </c>
      <c r="H2" s="407">
        <f>(H11)+IFERROR(#REF!,0)+IF(ISNUMBER(H14),H14,0)+H23</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WinFOLIA™,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87"/>
      <c r="C5" s="232" t="str">
        <f>$A$2&amp; IF(Francais," Modèle logiciel"," Software Model")</f>
        <v>WinFOLIA™ Software Model</v>
      </c>
      <c r="D5" s="233"/>
      <c r="F5" s="793"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WinFOLIA™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 XL" &amp; PROPER(SUBSTITUTE(A2,"Win","")) &amp; " " &amp; IF(Francais,"Logiciel pour analyse des données de " &amp;A2&amp; " (requiert MS Excel, non-inclus)","Software for " &amp;A2&amp; "'s data Analysis (requires MS Excel, not included)" )</f>
        <v>• XLFolia™ Software for WinFOLIA™'s data Analysis (requires MS Excel, not included)</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46"/>
      <c r="G9" s="446"/>
      <c r="H9" s="446"/>
      <c r="I9" s="434"/>
      <c r="J9" s="796"/>
      <c r="K9" s="428"/>
      <c r="L9" s="428"/>
      <c r="M9" s="428"/>
      <c r="N9" s="428"/>
      <c r="O9" s="428"/>
      <c r="P9" s="428"/>
    </row>
    <row r="10" spans="1:16" ht="8" customHeight="1" x14ac:dyDescent="0.2">
      <c r="A10" s="798" t="str">
        <f>IF(Francais,"2) Choisir combien de nouvelle(s)    → license(s).","2) Select how many new   → license(s).")</f>
        <v>2) Select how many new   → license(s).</v>
      </c>
      <c r="B10" s="200"/>
      <c r="D10" s="145"/>
      <c r="E10" s="7"/>
      <c r="F10" s="7"/>
      <c r="G10" s="201"/>
      <c r="H10"/>
      <c r="I10" s="427"/>
      <c r="J10" s="796"/>
      <c r="L10" s="203"/>
      <c r="P10" s="425"/>
    </row>
    <row r="11" spans="1:16" ht="31" customHeight="1" x14ac:dyDescent="0.2">
      <c r="A11" s="798"/>
      <c r="B11" s="488"/>
      <c r="C11" s="232" t="str">
        <f>IF(Francais,"Nouvelle(s) License(s) Logiciel " &amp; $A$2,"New "&amp;$A$2&amp;" Software License(s)")</f>
        <v>New WinFOLIA™ Software License(s)</v>
      </c>
      <c r="D11" s="233"/>
      <c r="E11" s="233"/>
      <c r="F11" s="233"/>
      <c r="G11" s="235">
        <f>IFERROR(H11/(FOLIA_N_Software-1),0)</f>
        <v>0</v>
      </c>
      <c r="H11" s="281">
        <f>ROUND((INDEX(FOLIA_SoftwarePriceList,FOLIA_IndexSoftware))*
IF(FOLIA_N_Software-1=0,0,SUM(MMULT(
  _xlfn.MUNIT(
   FOLIA_N_Software-1),
    INDEX(TableLists[Column10],FOLIA_N_AlreadyHaveSoftware-1+2):
    INDEX(TableLists[Column10],(FOLIA_N_AlreadyHaveSoftware-1+1)+(FOLIA_N_Software-1))
))),0)</f>
        <v>0</v>
      </c>
      <c r="I11" s="236">
        <v>852349</v>
      </c>
      <c r="J11" s="203" t="str">
        <f>IF(Francais,"  Je possède", "  I own")</f>
        <v xml:space="preserve">  I own</v>
      </c>
    </row>
    <row r="12" spans="1:16" x14ac:dyDescent="0.2">
      <c r="A12" s="798"/>
      <c r="B12" s="202"/>
      <c r="C12"/>
      <c r="D12"/>
      <c r="E12"/>
      <c r="F12"/>
      <c r="G12"/>
      <c r="H12"/>
      <c r="I12" s="204"/>
      <c r="J12" s="45"/>
    </row>
    <row r="13" spans="1:16" ht="30" customHeight="1" x14ac:dyDescent="0.2">
      <c r="B13" s="187"/>
      <c r="C13" s="188" t="str">
        <f>IF(Francais,"Matériel","Hardware")</f>
        <v>Hardware</v>
      </c>
      <c r="D13" s="190"/>
      <c r="E13" s="190"/>
      <c r="F13" s="190"/>
      <c r="G13" s="191" t="str">
        <f>IF(Francais,"SOUS-TOTAL MATÉRIEL:","HARDWARE SUBTOTAL:")</f>
        <v>HARDWARE SUBTOTAL:</v>
      </c>
      <c r="H13" s="192">
        <f>IF(ISNUMBER(H14),H14,0)+H23</f>
        <v>0</v>
      </c>
      <c r="I13" s="215"/>
      <c r="J13" s="791" t="str">
        <f>IF(Checkbox_Updates=FALSE,IF(Francais,"License(s) Logiciel " &amp; $A$2,$A$2&amp;" Software License(s)"),"")</f>
        <v>WinFOLIA™ Software License(s)</v>
      </c>
    </row>
    <row r="14" spans="1:16" ht="30.75" customHeight="1" x14ac:dyDescent="0.2">
      <c r="A14" s="792"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Select 1 or + → to get a system with or without a scanner and choose the model. "Without" is when you already have it or buy it locally.</v>
      </c>
      <c r="B14" s="488"/>
      <c r="C14" s="232" t="str">
        <f>IF(Francais,"Système " &amp; $A$2, $A$2 &amp; " System")</f>
        <v>WinFOLIA™ System</v>
      </c>
      <c r="D14" s="802" t="str">
        <f>IF(Francais,
"Incluant:",
"Including:")</f>
        <v>Including:</v>
      </c>
      <c r="E14" s="802"/>
      <c r="F14" s="234"/>
      <c r="G14" s="237">
        <f>IFERROR(H14/(FOLIA_N_System-1),0)</f>
        <v>0</v>
      </c>
      <c r="H14" s="452">
        <f>IF(AND(FOLIA_N_Software=1,FOLIA_N_UpgradeUpdate=1,NOT(SuperUser),FOLIA_N_System&gt;1),IF(Francais,"vendu avec logiciel uniquement","sold with software only"),
ROUND((IF(FOLIA_ClientWithOrWithoutScanner=1,
       INDEX((PrixSTD,PrixLA,PrixLC),,,FOLIA_IndexScanner),
       INDEX((STD_GenCalib_Drivers_Instr_Techsup,LA_GenCalib_Drivers_Instr_Techsup,LC_GenCalib_Drivers_Instr_Techsup),,,FOLIA_IndexScanner))
+IF(FOLIA_PosiOrBlueBG_Checkbox,INDEX((PrixBlBgSTD_LA_LC),,,FOLIA_IndexScanner),0)
)*(FOLIA_N_System-1)+(FOLIA_OptionTPU-1)*G22,0))</f>
        <v>0</v>
      </c>
      <c r="I14" s="236">
        <v>903149</v>
      </c>
      <c r="J14" s="791"/>
    </row>
    <row r="15" spans="1:16" ht="15.75" customHeight="1" x14ac:dyDescent="0.2">
      <c r="A15" s="792"/>
      <c r="B15" s="217"/>
      <c r="C15" s="397" t="str">
        <f>"• Scanner"</f>
        <v>• Scanner</v>
      </c>
      <c r="D15" s="790" t="str">
        <f>IF(FOLIA_ClientWithOrWithoutScanner=1,
IF(Francais,
"• Documentation, logiciels et accessoires du manufacturier",
"• Manufacturer documentation, software and accessories"),
IF(Francais,"• Scanner non inclus","• No scanner included"))</f>
        <v>• No scanner included</v>
      </c>
      <c r="E15" s="790"/>
      <c r="G15" s="788" t="str">
        <f>IF(Checkbox_Instructions,HYPERLINK("https://regentinstruments.com/assets/ourscanners.html?utm_source=PriceQuoteXLS",IF(Francais,"Cliquez pour voir les spécifications de nos scanners","Click to view our scanners specifications")),"")</f>
        <v>Click to view our scanners specifications</v>
      </c>
      <c r="H15" s="788"/>
      <c r="I15" s="218"/>
      <c r="J15" s="791"/>
    </row>
    <row r="16" spans="1:16" ht="15.75" customHeight="1" x14ac:dyDescent="0.2">
      <c r="A16" s="792"/>
      <c r="B16" s="217"/>
      <c r="C16" s="398" t="str">
        <f>IF(Francais,"   (seulement vendu avec logiciel)","   (sold with software only)")</f>
        <v xml:space="preserve">   (sold with software only)</v>
      </c>
      <c r="D16" s="790"/>
      <c r="E16" s="790"/>
      <c r="G16" s="788"/>
      <c r="H16" s="788"/>
      <c r="I16" s="204"/>
      <c r="J16" s="791"/>
    </row>
    <row r="17" spans="1:10" x14ac:dyDescent="0.2">
      <c r="A17" s="792"/>
      <c r="B17" s="217"/>
      <c r="D17" s="49" t="str">
        <f>IF(Francais,
"• Calibration, Manuel Installation &amp; Utilisation Scanner pour " &amp; A2 &amp; IF(OR(A2="WinRHIZO™",A2="WinSEEDLE™")," &amp; vidéo","") &amp; ", Pilote TWAIN et support technique pour l'acquisition d'image de Feuilles.",
"• Calibration, Scanner Installation &amp; Utilisation for " &amp; A2 &amp; " manual" &amp; IF(OR(A2="WinRHIZO™",A2="WinSEEDLE™")," &amp; video","") &amp; ", TWAIN driver and Technical support for Leaves image acquisition.")</f>
        <v>• Calibration, Scanner Installation &amp; Utilisation for WinFOLIA™ manual, TWAIN driver and Technical support for Leaves image acquisition.</v>
      </c>
      <c r="I17" s="199"/>
    </row>
    <row r="18" spans="1:10" ht="8" customHeight="1" x14ac:dyDescent="0.2">
      <c r="A18" s="792"/>
      <c r="B18" s="217"/>
      <c r="E18" s="148"/>
      <c r="I18" s="199"/>
    </row>
    <row r="19" spans="1:10" ht="15.75" customHeight="1" x14ac:dyDescent="0.2">
      <c r="A19" s="792"/>
      <c r="B19" s="217"/>
      <c r="H19" s="219"/>
      <c r="I19" s="199"/>
    </row>
    <row r="20" spans="1:10" ht="15.75" customHeight="1" x14ac:dyDescent="0.2">
      <c r="A20" s="792"/>
      <c r="B20" s="217"/>
      <c r="H20" s="219"/>
      <c r="I20" s="199"/>
    </row>
    <row r="21" spans="1:10" x14ac:dyDescent="0.2">
      <c r="A21" s="792"/>
      <c r="B21" s="217"/>
      <c r="C21" s="1" t="str">
        <f>IF(Francais,"• Fond Bleu pour Analyse Couleur ","• Blue Background for Color Analysis ") &amp; INDEX(({"STD";"LA";"LC"}),FOLIA_IndexScanner) &amp; IF(Francais,""," Scanner")</f>
        <v>• Blue Background for Color Analysis STD Scanner</v>
      </c>
      <c r="D21" s="1" t="str">
        <f>IF(FOLIA_PosiOrBlueBG_Checkbox,
IF(Francais,"• Fond Bleu pour Analyse Couleur pour scanner " &amp; INDEX(({"STD";"LA";"LC"}),FOLIA_IndexScanner),"• Blue Background for Color Analysis for " &amp; INDEX(({"STD";"LA";"LC"}),FOLIA_IndexScanner) &amp; " scanner"),
IF(Francais,"• Fond Bleu non inclus","• No Blue Background included"))</f>
        <v>• Blue Background for Color Analysis for STD scanner</v>
      </c>
      <c r="H21" s="15"/>
      <c r="I21" s="220"/>
    </row>
    <row r="22" spans="1:10" x14ac:dyDescent="0.2">
      <c r="B22" s="217"/>
      <c r="D22" s="150" t="str">
        <f>IF(Francais,"Option (pour LA seulement)","Option (for LA only):")</f>
        <v>Option (for LA only):</v>
      </c>
      <c r="E22" s="49" t="str">
        <f>IF(Francais,"• Lumière spéciale (LS) pour scanner Feuilles, Racines, Graines ou Aiguilles","• Special Light (SL) to scan Leaves differently, Roots, Seeds &amp; Needles")</f>
        <v>• Special Light (SL) to scan Leaves differently, Roots, Seeds &amp; Needles</v>
      </c>
      <c r="G22" s="151">
        <f>IF(FOLIA_ClientWithOrWithoutScanner=1,IF(FOLIA_IndexScanner=2,PrixTPU,0),0)</f>
        <v>0</v>
      </c>
      <c r="H22" s="15"/>
      <c r="I22" s="220"/>
    </row>
    <row r="23" spans="1:10" ht="18" customHeight="1" x14ac:dyDescent="0.2">
      <c r="B23" s="489"/>
      <c r="C23" s="232" t="str">
        <f>IF(Francais, "Accessoires Optionnels","Optional Accessories")</f>
        <v>Optional Accessories</v>
      </c>
      <c r="D23" s="238"/>
      <c r="E23" s="234"/>
      <c r="F23" s="234"/>
      <c r="G23" s="239" t="str">
        <f>IF(Francais,"Sous-Total Accessoires : ","Sub-Total Accessories : ")</f>
        <v xml:space="preserve">Sub-Total Accessories : </v>
      </c>
      <c r="H23" s="235">
        <f>ROUND(0*(FOLIA_Option1-1)+
G24*(FOLIA_Option2-1)+
G25*(FOLIA_Option3-1)+
G26*(FOLIA_Option4-1),0)</f>
        <v>0</v>
      </c>
      <c r="I23" s="240"/>
    </row>
    <row r="24" spans="1:10" x14ac:dyDescent="0.2">
      <c r="A24" s="785" t="str">
        <f>IF(Checkbox_Updates=TRUE,
IF(Francais,"6) Choisir accessoires en extra si désiré. →","6) Choose extra accessories if you want. →"),
SUBSTITUTE(IF(Francais,"6) Choisir accessoires en extra si désiré. →","6) Choose extra accessories if you want. →"),"6)","5)"))</f>
        <v>5) Choose extra accessories if you want. →</v>
      </c>
      <c r="B24" s="205"/>
      <c r="C24" s="440"/>
      <c r="D24" s="1" t="str">
        <f>IF(Francais,"PICK* 12"" x 16"" Incl. 1 Presse-feuille Bleu, 1 Blanc " &amp; "&amp;" &amp; " Cibles d'Étalonnage","12"" x 16"" PICK* Incl. 1 White, 1 Blue Leaf Press " &amp; "&amp;" &amp; " Calibration Targets")</f>
        <v>12" x 16" PICK* Incl. 1 White, 1 Blue Leaf Press &amp; Calibration Targets</v>
      </c>
      <c r="E24" s="48"/>
      <c r="G24" s="167">
        <f>Calc!A31</f>
        <v>231</v>
      </c>
      <c r="H24" s="168"/>
      <c r="I24" s="801">
        <v>900691</v>
      </c>
    </row>
    <row r="25" spans="1:10" x14ac:dyDescent="0.2">
      <c r="A25" s="785"/>
      <c r="B25" s="205"/>
      <c r="C25" s="16" t="str">
        <f>IF(Francais,"   (avec l'achat ou la possession de WinFOLIA uniquement)","   (if you buy or own WinFOLIA only)")</f>
        <v xml:space="preserve">   (if you buy or own WinFOLIA only)</v>
      </c>
      <c r="D25" s="1" t="str">
        <f>IF(Francais,"PICK* 18"" x 24"" Incl. 1 Presse-feuille Bleu, 1 Blanc " &amp; "&amp;" &amp; " Cibles d'Étalonnage","18"" x 24"" PICK* Incl. 1 White, 1 Blue Leaf Press " &amp; "&amp;" &amp; " Calibration Targets")</f>
        <v>18" x 24" PICK* Incl. 1 White, 1 Blue Leaf Press &amp; Calibration Targets</v>
      </c>
      <c r="E25" s="49"/>
      <c r="G25" s="167">
        <f>Calc!A32</f>
        <v>428</v>
      </c>
      <c r="H25" s="168"/>
      <c r="I25" s="801"/>
      <c r="J25" s="14"/>
    </row>
    <row r="26" spans="1:10" x14ac:dyDescent="0.2">
      <c r="A26" s="785"/>
      <c r="B26" s="205"/>
      <c r="C26" s="16"/>
      <c r="D26" s="1" t="str">
        <f>IF(Francais,"Fond Bleu pour Analyse Couleur","Blue Background for Color Analysis")</f>
        <v>Blue Background for Color Analysis</v>
      </c>
      <c r="E26" s="49"/>
      <c r="G26" s="167">
        <f>INDEX((PrixBlBgSTD_LA_LC),,,FOLIA_IndexScanner)</f>
        <v>26</v>
      </c>
      <c r="H26" s="168"/>
      <c r="I26" s="801"/>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 xml:space="preserve">For questions or to place an order contact: </v>
      </c>
      <c r="F29" s="439" t="s">
        <v>164</v>
      </c>
      <c r="G29" s="439"/>
      <c r="H29" s="439"/>
      <c r="I29" s="439"/>
    </row>
  </sheetData>
  <sheetProtection algorithmName="SHA-512" hashValue="crKiUTJZq9McZIk0VqO0Mzsz8nvUVqaUMHdPmoDlHk0IUyRneHE4dDuGOcmHjx98RhmDZ8xJebJgNUiQI+7zmQ==" saltValue="5i0rm6rRTLIjuGdzVnvmtg==" spinCount="100000" sheet="1" objects="1" scenarios="1" selectLockedCells="1"/>
  <mergeCells count="12">
    <mergeCell ref="J13:J16"/>
    <mergeCell ref="A14:A21"/>
    <mergeCell ref="J4:J10"/>
    <mergeCell ref="A24:A26"/>
    <mergeCell ref="I24:I26"/>
    <mergeCell ref="A5:A8"/>
    <mergeCell ref="F5:I5"/>
    <mergeCell ref="G15:H16"/>
    <mergeCell ref="D16:E16"/>
    <mergeCell ref="D15:E15"/>
    <mergeCell ref="D14:E14"/>
    <mergeCell ref="A10:A12"/>
  </mergeCells>
  <conditionalFormatting sqref="D15:D16 D18:D21">
    <cfRule type="expression" dxfId="87" priority="79">
      <formula>NOT(Checkbox_Descriptions)</formula>
    </cfRule>
  </conditionalFormatting>
  <conditionalFormatting sqref="G22 D22:E22">
    <cfRule type="expression" dxfId="86" priority="70">
      <formula>IF(FOLIA_IndexScanner=2,0,1)</formula>
    </cfRule>
  </conditionalFormatting>
  <conditionalFormatting sqref="G22 D22:E22">
    <cfRule type="expression" dxfId="85" priority="69">
      <formula>IF(FOLIA_ClientWithOrWithoutScanner=1,0,1)</formula>
    </cfRule>
  </conditionalFormatting>
  <conditionalFormatting sqref="H2 H4 G11 H13 G14 H23">
    <cfRule type="expression" dxfId="84" priority="82">
      <formula>OR(IndexZone=5)</formula>
    </cfRule>
    <cfRule type="expression" dxfId="83" priority="83">
      <formula>OR(IndexZone=3, IndexZone=8, IndexZone=10)</formula>
    </cfRule>
  </conditionalFormatting>
  <conditionalFormatting sqref="H14">
    <cfRule type="expression" dxfId="82" priority="45">
      <formula>ISTEXT($H$14)</formula>
    </cfRule>
  </conditionalFormatting>
  <conditionalFormatting sqref="C24">
    <cfRule type="expression" dxfId="81" priority="42">
      <formula>NOT(Checkbox_Descriptions)</formula>
    </cfRule>
  </conditionalFormatting>
  <conditionalFormatting sqref="D6:D7">
    <cfRule type="expression" dxfId="80" priority="28">
      <formula>NOT(Checkbox_Descriptions)</formula>
    </cfRule>
  </conditionalFormatting>
  <conditionalFormatting sqref="D9">
    <cfRule type="expression" dxfId="79" priority="27">
      <formula>NOT(Checkbox_Descriptions)</formula>
    </cfRule>
  </conditionalFormatting>
  <conditionalFormatting sqref="A5">
    <cfRule type="expression" dxfId="78" priority="24">
      <formula>NOT(Checkbox_Instructions)</formula>
    </cfRule>
  </conditionalFormatting>
  <conditionalFormatting sqref="A10">
    <cfRule type="expression" dxfId="77" priority="22">
      <formula>NOT(Checkbox_Instructions)</formula>
    </cfRule>
  </conditionalFormatting>
  <conditionalFormatting sqref="F9">
    <cfRule type="expression" dxfId="76" priority="17">
      <formula>NOT(Checkbox_Instructions)</formula>
    </cfRule>
  </conditionalFormatting>
  <conditionalFormatting sqref="D17">
    <cfRule type="expression" dxfId="75" priority="6">
      <formula>NOT(Checkbox_Descriptions)</formula>
    </cfRule>
  </conditionalFormatting>
  <conditionalFormatting sqref="A14">
    <cfRule type="expression" dxfId="74" priority="4">
      <formula>NOT(Checkbox_Instructions)</formula>
    </cfRule>
  </conditionalFormatting>
  <conditionalFormatting sqref="J4">
    <cfRule type="expression" dxfId="72" priority="2">
      <formula>NOT(Checkbox_Instructions)</formula>
    </cfRule>
  </conditionalFormatting>
  <conditionalFormatting sqref="A24">
    <cfRule type="expression" dxfId="71" priority="1">
      <formula>NOT(Checkbox_Instructions)</formula>
    </cfRule>
  </conditionalFormatting>
  <dataValidations count="1">
    <dataValidation type="custom" allowBlank="1" showInputMessage="1" showErrorMessage="1" sqref="G15:H16 F5" xr:uid="{00000000-0002-0000-0600-000000000000}">
      <formula1>"&lt;0&gt;0"</formula1>
    </dataValidation>
  </dataValidations>
  <hyperlinks>
    <hyperlink ref="F29" r:id="rId1" xr:uid="{00000000-0004-0000-06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0657"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70669"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70674" r:id="rId7" name="Drop Down 18">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70675" r:id="rId8"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70670" r:id="rId9"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70681" r:id="rId10" name="Drop Down 25">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70684" r:id="rId11" name="Drop Down 28">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70672" r:id="rId12"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70671" r:id="rId13"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70693" r:id="rId14" name="ScannerCheckbox">
              <controlPr defaultSize="0" autoFill="0" autoLine="0" autoPict="0">
                <anchor moveWithCells="1" sizeWithCells="1">
                  <from>
                    <xdr:col>1</xdr:col>
                    <xdr:colOff>101600</xdr:colOff>
                    <xdr:row>13</xdr:row>
                    <xdr:rowOff>355600</xdr:rowOff>
                  </from>
                  <to>
                    <xdr:col>2</xdr:col>
                    <xdr:colOff>711200</xdr:colOff>
                    <xdr:row>15</xdr:row>
                    <xdr:rowOff>25400</xdr:rowOff>
                  </to>
                </anchor>
              </controlPr>
            </control>
          </mc:Choice>
        </mc:AlternateContent>
        <mc:AlternateContent xmlns:mc="http://schemas.openxmlformats.org/markup-compatibility/2006">
          <mc:Choice Requires="x14">
            <control shapeId="70695" r:id="rId15"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70682" r:id="rId16" name="Drop Down 26">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70683" r:id="rId17" name="Drop Down 27">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70685" r:id="rId18" name="Drop Down 29">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70696" r:id="rId19"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FFC00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WinCAM™ Price List V. 2025 in Euros Currency</v>
      </c>
      <c r="C1" s="411"/>
      <c r="G1" s="412"/>
      <c r="H1" s="15"/>
      <c r="I1" s="408" t="str">
        <f>IF(Francais,"Valide jusqu'au","Valid until")</f>
        <v>Valid until</v>
      </c>
    </row>
    <row r="2" spans="1:16" ht="28.25" customHeight="1" x14ac:dyDescent="0.2">
      <c r="A2" s="413" t="s">
        <v>180</v>
      </c>
      <c r="B2" s="403"/>
      <c r="C2" s="404"/>
      <c r="D2" s="404"/>
      <c r="E2" s="405" t="str">
        <f>IF(AND(CAM_N_Software=1,CAM_N_UpgradeUpdate=1,CAM_N_System&gt;1),
IF(Francais,"Système","")&amp;IF(CAM_IndexScanner=1," STD4800","")&amp;IF(CAM_IndexScanner=2," LA2400","")&amp;IF(CAM_IndexScanner=3," LC4800","")&amp;IF(Francais,""," System"),
IF(AND(CAM_N_System&gt;1,Francais),"Système ","")&amp;LEFT(INDEX(CAM_SoftwareFullNames,CAM_IndexSoftware),FIND(" ",INDEX(CAM_SoftwareFullNames,CAM_IndexSoftware),FIND(" ",INDEX(CAM_SoftwareFullNames,CAM_IndexSoftware))+6)) &amp;
CAM_YearMostRecent &amp;
IF(CAM_N_System&gt;1,IF(CAM_IndexScanner=1," STD4800","")&amp;IF(CAM_IndexScanner=2," LA2400","")&amp;IF(CAM_IndexScanner=3," LC4800","")&amp;IF(Francais,""," System"),IF(AND(CAM_N_Software=1,CAM_N_System=1,CAM_N_UpgradeUpdate&gt;1),IF(Francais," Mise à jour"," Update"),IF(Francais," Logiciel"," Software")))) &amp;
IF(AND(CAM_ClientWithOrWithoutScanner=2,CAM_N_System&gt;1),IF(Francais," Sans Scanner"," Without Scanner"),IF(Francais," Avec Scanner"," With Scanner"))</f>
        <v>WinCAM™ NDVI Reg 2025 Software With Scanner</v>
      </c>
      <c r="F2" s="406"/>
      <c r="G2" s="405" t="s">
        <v>15</v>
      </c>
      <c r="H2" s="407">
        <f>(H11)+IFERROR(#REF!,0)+IF(ISNUMBER(H14),H14,0)+H23</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WinCAM™,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90"/>
      <c r="C5" s="251" t="str">
        <f>$A$2&amp; IF(Francais," Modèle logiciel"," Software Model")</f>
        <v>WinCAM™ Software Model</v>
      </c>
      <c r="D5" s="252"/>
      <c r="F5" s="793" t="str">
        <f>IF(Checkbox_Instructions,HYPERLINK("https://regentinstruments.com/assets/" &amp; LOWER(LEFT($A$2,LEN($A$2)-1)) &amp; "_measurements.html?utm_source=PriceQuoteXLS",IF(Francais,"Cliquez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WinCAM™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IF(Francais,"• Licence perpétuelle ( utilisez-la aussi longtemps que vous le souhaitez sans frais supplémentaires).","• Perpetual license (use it as long as you want without afterward fees).")</f>
        <v>• Perpetual license (use it as long as you want without afterward fees).</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34"/>
      <c r="G9" s="434"/>
      <c r="H9" s="434"/>
      <c r="I9" s="436"/>
      <c r="J9" s="796"/>
      <c r="K9" s="428"/>
      <c r="L9" s="428"/>
      <c r="M9" s="428"/>
      <c r="N9" s="428"/>
      <c r="O9" s="428"/>
      <c r="P9" s="428"/>
    </row>
    <row r="10" spans="1:16" ht="8" customHeight="1" x14ac:dyDescent="0.2">
      <c r="A10" s="798" t="str">
        <f>IF(Francais,"2) Choisir combien de nouvelle(s)    → license(s).","2) Select how many new   → license(s).")</f>
        <v>2) Select how many new   → license(s).</v>
      </c>
      <c r="B10" s="200"/>
      <c r="D10" s="256"/>
      <c r="E10" s="256"/>
      <c r="F10" s="256"/>
      <c r="G10" s="256"/>
      <c r="H10" s="256"/>
      <c r="I10" s="199"/>
      <c r="J10" s="796"/>
      <c r="L10" s="203"/>
      <c r="P10" s="425"/>
    </row>
    <row r="11" spans="1:16" ht="31" customHeight="1" x14ac:dyDescent="0.2">
      <c r="A11" s="798"/>
      <c r="B11" s="491"/>
      <c r="C11" s="251" t="str">
        <f>IF(Francais,"Nouvelle(s) License(s) Logiciel " &amp; $A$2,"New "&amp;$A$2&amp;" Software License(s)")</f>
        <v>New WinCAM™ Software License(s)</v>
      </c>
      <c r="D11" s="252"/>
      <c r="E11" s="252"/>
      <c r="F11" s="252"/>
      <c r="G11" s="254">
        <f>IFERROR(H11/(CAM_N_Software-1),0)</f>
        <v>0</v>
      </c>
      <c r="H11" s="284">
        <f>ROUND((INDEX(CAM_SoftwarePriceList,CAM_IndexSoftware))*
IF(CAM_N_Software-1=0,0,SUM(MMULT(
  _xlfn.MUNIT(
   CAM_N_Software-1),
    INDEX(TableLists[Column10],CAM_N_AlreadyHaveSoftware-1+2):
    INDEX(TableLists[Column10],(CAM_N_AlreadyHaveSoftware-1+1)+(CAM_N_Software-1))
))),0)</f>
        <v>0</v>
      </c>
      <c r="I11" s="255">
        <v>852349</v>
      </c>
      <c r="J11" s="203" t="str">
        <f>IF(Francais,"  Je possède", "  I own")</f>
        <v xml:space="preserve">  I own</v>
      </c>
    </row>
    <row r="12" spans="1:16" x14ac:dyDescent="0.2">
      <c r="A12" s="798"/>
      <c r="B12" s="202"/>
      <c r="C12"/>
      <c r="D12"/>
      <c r="E12"/>
      <c r="F12"/>
      <c r="G12"/>
      <c r="H12"/>
      <c r="I12" s="204"/>
      <c r="J12" s="45"/>
    </row>
    <row r="13" spans="1:16" ht="30" customHeight="1" x14ac:dyDescent="0.2">
      <c r="B13" s="187"/>
      <c r="C13" s="188" t="str">
        <f>IF(Francais,"Matériel","Hardware")</f>
        <v>Hardware</v>
      </c>
      <c r="D13" s="190"/>
      <c r="E13" s="190"/>
      <c r="F13" s="190"/>
      <c r="G13" s="191" t="str">
        <f>IF(Francais,"SOUS-TOTAL MATÉRIEL:","HARDWARE SUBTOTAL:")</f>
        <v>HARDWARE SUBTOTAL:</v>
      </c>
      <c r="H13" s="192">
        <f>IF(ISNUMBER(H14),H14,0)+H23</f>
        <v>0</v>
      </c>
      <c r="I13" s="215"/>
      <c r="J13" s="791" t="str">
        <f>IF(Checkbox_Updates=FALSE,IF(Francais,"License(s) Logiciel " &amp; $A$2,$A$2&amp;" Software License(s)"),"")</f>
        <v>WinCAM™ Software License(s)</v>
      </c>
    </row>
    <row r="14" spans="1:16" ht="30.75" customHeight="1" x14ac:dyDescent="0.2">
      <c r="A14" s="792"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Select 1 or + → to get a system with or without a scanner and choose the model. "Without" is when you already have it or buy it locally.</v>
      </c>
      <c r="B14" s="491"/>
      <c r="C14" s="251" t="str">
        <f>IF(Francais,"Système " &amp; $A$2, $A$2 &amp; " System")</f>
        <v>WinCAM™ System</v>
      </c>
      <c r="D14" s="803" t="str">
        <f>IF(Francais,
"Incluant:",
"Including:")</f>
        <v>Including:</v>
      </c>
      <c r="E14" s="803"/>
      <c r="F14" s="253"/>
      <c r="G14" s="257">
        <f>IFERROR(H14/(CAM_N_System-1),0)</f>
        <v>0</v>
      </c>
      <c r="H14" s="285">
        <f>IF(AND(CAM_N_Software=1,CAM_N_UpgradeUpdate=1,NOT(SuperUser),CAM_N_System&gt;1),IF(Francais,"vendu avec logiciel uniquement","sold with software only"),
ROUND((IF(CAM_ClientWithOrWithoutScanner=1,
       INDEX((PrixSTD,PrixLA,PrixLC),,,CAM_IndexScanner),
       INDEX((STD_GenCalib_Drivers_Instr_Techsup,LA_GenCalib_Drivers_Instr_Techsup,LC_GenCalib_Drivers_Instr_Techsup),,,CAM_IndexScanner))
+IF(CAM_PosiOrBlueBG_Checkbox,INDEX((PrixBlBgSTD_LA_LC),,,CAM_IndexScanner),0)
)*(CAM_N_System-1)+(CAM_OptionTPU-1)*G22,0))</f>
        <v>0</v>
      </c>
      <c r="I14" s="255">
        <v>903149</v>
      </c>
      <c r="J14" s="791"/>
    </row>
    <row r="15" spans="1:16" ht="15.75" customHeight="1" x14ac:dyDescent="0.2">
      <c r="A15" s="792"/>
      <c r="B15" s="217"/>
      <c r="C15" s="397" t="str">
        <f>"• Scanner"</f>
        <v>• Scanner</v>
      </c>
      <c r="D15" s="790" t="str">
        <f>IF(CAM_ClientWithOrWithoutScanner=1,
IF(Francais,
"• Documentation, logiciels et accessoires du manufacturier",
"• Manufacturer documentation, software and accessories"),
IF(Francais,"• Scanner non inclus","• No scanner included"))</f>
        <v>• Manufacturer documentation, software and accessories</v>
      </c>
      <c r="E15" s="790"/>
      <c r="G15" s="788" t="str">
        <f>IF(Checkbox_Instructions,HYPERLINK("https://regentinstruments.com/assets/ourscanners.html?utm_source=PriceQuoteXLS",IF(Francais,"Cliquez pour voir les spécifications de nos scanners","Click to view our scanners specifications")),"")</f>
        <v>Click to view our scanners specifications</v>
      </c>
      <c r="H15" s="788"/>
      <c r="I15" s="218"/>
      <c r="J15" s="791"/>
    </row>
    <row r="16" spans="1:16" ht="15.75" customHeight="1" x14ac:dyDescent="0.2">
      <c r="A16" s="792"/>
      <c r="B16" s="217"/>
      <c r="C16" s="398" t="str">
        <f>IF(Francais,"   (seulement vendu avec logiciel)","   (sold with software only)")</f>
        <v xml:space="preserve">   (sold with software only)</v>
      </c>
      <c r="D16" s="790"/>
      <c r="E16" s="790"/>
      <c r="G16" s="788"/>
      <c r="H16" s="788"/>
      <c r="I16" s="204"/>
      <c r="J16" s="791"/>
    </row>
    <row r="17" spans="1:10" x14ac:dyDescent="0.2">
      <c r="A17" s="792"/>
      <c r="B17" s="217"/>
      <c r="D17" s="49" t="str">
        <f>IF(Francais,
"• Calibration, Manuel Installation &amp; Utilisation Scanner pour " &amp; A2 &amp; IF(OR(A2="WinRHIZO™",A2="WinSEEDLE™")," &amp; vidéo","") &amp; ", Pilote TWAIN et support technique pour l'acquisition d'image.",
"• Calibration, Scanner Installation &amp; Utilisation for " &amp; A2 &amp; " manual" &amp; IF(OR(A2="WinRHIZO™",A2="WinSEEDLE™")," &amp; video","") &amp; ", TWAIN driver and Technical support for image acquisition.")</f>
        <v>• Calibration, Scanner Installation &amp; Utilisation for WinCAM™ manual, TWAIN driver and Technical support for image acquisition.</v>
      </c>
      <c r="I17" s="199"/>
    </row>
    <row r="18" spans="1:10" ht="8" customHeight="1" x14ac:dyDescent="0.2">
      <c r="A18" s="792"/>
      <c r="B18" s="217"/>
      <c r="E18" s="148"/>
      <c r="I18" s="199"/>
    </row>
    <row r="19" spans="1:10" ht="15.75" customHeight="1" x14ac:dyDescent="0.2">
      <c r="A19" s="792"/>
      <c r="B19" s="217"/>
      <c r="I19" s="199"/>
    </row>
    <row r="20" spans="1:10" ht="15.75" customHeight="1" x14ac:dyDescent="0.2">
      <c r="A20" s="792"/>
      <c r="B20" s="217"/>
      <c r="I20" s="199"/>
    </row>
    <row r="21" spans="1:10" x14ac:dyDescent="0.2">
      <c r="A21" s="792"/>
      <c r="B21" s="217"/>
      <c r="C21" s="1" t="str">
        <f>IF(Francais,"• Fond Bleu pour Analyse Couleur ","• Blue Background for Color Analysis ") &amp; INDEX(({"STD";"LA";"LC"}),CAM_IndexScanner) &amp; IF(Francais,""," Scanner")</f>
        <v>• Blue Background for Color Analysis STD Scanner</v>
      </c>
      <c r="D21" s="1" t="str">
        <f>IF(CAM_PosiOrBlueBG_Checkbox,
IF(Francais,"• Fond Bleu pour Analyse Couleur pour scanner " &amp; INDEX(({"STD";"LA";"LC"}),CAM_IndexScanner),"• Blue Background for Color Analysis for " &amp; INDEX(({"STD";"LA";"LC"}),CAM_IndexScanner) &amp; " scanner"),
IF(Francais,"• Fond Bleu non inclus","• No Blue Background included"))</f>
        <v>• Blue Background for Color Analysis for STD scanner</v>
      </c>
      <c r="H21" s="15"/>
      <c r="I21" s="220"/>
    </row>
    <row r="22" spans="1:10" x14ac:dyDescent="0.2">
      <c r="B22" s="217"/>
      <c r="D22" s="150" t="str">
        <f>IF(Francais,"Option (pour LA seulement)","Option (for LA only):")</f>
        <v>Option (for LA only):</v>
      </c>
      <c r="E22" s="49" t="str">
        <f>IF(Francais,"• Lumière spéciale (LS) pour scanner Feuilles, Racines, Graines ou Aiguilles","• Special Light (SL) to scan Leaves differently, Roots, Seeds &amp; Needles")</f>
        <v>• Special Light (SL) to scan Leaves differently, Roots, Seeds &amp; Needles</v>
      </c>
      <c r="G22" s="151">
        <f>IF(CAM_ClientWithOrWithoutScanner=1,IF(CAM_IndexScanner=2,PrixTPU,0),0)</f>
        <v>0</v>
      </c>
      <c r="H22" s="15"/>
      <c r="I22" s="220"/>
    </row>
    <row r="23" spans="1:10" ht="18" customHeight="1" x14ac:dyDescent="0.2">
      <c r="B23" s="492"/>
      <c r="C23" s="251" t="str">
        <f>IF(Francais, "Accessoires Optionnels","Optional Accessories")</f>
        <v>Optional Accessories</v>
      </c>
      <c r="D23" s="258"/>
      <c r="E23" s="253"/>
      <c r="F23" s="253"/>
      <c r="G23" s="259" t="str">
        <f>IF(Francais,"Sous-Total Matériel Optionnel Extra : ","Sub-Total Options Extra Hardware : ")</f>
        <v xml:space="preserve">Sub-Total Options Extra Hardware : </v>
      </c>
      <c r="H23" s="254">
        <f>ROUND(0*(CAM_Option1-1)+
G24*(CAM_Option2-1)+
G25*(CAM_Option3-1)+
G26*(CAM_Option4-1),0)</f>
        <v>0</v>
      </c>
      <c r="I23" s="260"/>
    </row>
    <row r="24" spans="1:10" x14ac:dyDescent="0.2">
      <c r="A24" s="785" t="str">
        <f>IF(Checkbox_Updates=TRUE,
IF(Francais,"6) Choisir accessoires en extra si désiré. →","6) Choose extra accessories if you want. →"),
SUBSTITUTE(IF(Francais,"6) Choisir accessoires en extra si désiré. →","6) Choose extra accessories if you want. →"),"6)","5)"))</f>
        <v>5) Choose extra accessories if you want. →</v>
      </c>
      <c r="B24" s="205"/>
      <c r="C24" s="440"/>
      <c r="D24" s="1" t="str">
        <f>IF(Francais,"PICK* 12"" x 16"" Incl. 1 Presse-feuille Bleu, 1 Blanc " &amp; "&amp;" &amp; " Cibles d'Étalonnage","12"" x 16"" PICK* Incl. 1 White, Blue Leaf Press " &amp; "&amp;" &amp; " Calibration Targets")</f>
        <v>12" x 16" PICK* Incl. 1 White, Blue Leaf Press &amp; Calibration Targets</v>
      </c>
      <c r="E24" s="48"/>
      <c r="G24" s="167">
        <f>Calc!A31</f>
        <v>231</v>
      </c>
      <c r="H24" s="168"/>
      <c r="I24" s="801">
        <v>900691</v>
      </c>
    </row>
    <row r="25" spans="1:10" x14ac:dyDescent="0.2">
      <c r="A25" s="785"/>
      <c r="B25" s="205"/>
      <c r="C25" s="16" t="str">
        <f>IF(Francais,"   (avec l'achat ou la possession de WinCAM uniquement)","   (if you buy or own WinCAM only)")</f>
        <v xml:space="preserve">   (if you buy or own WinCAM only)</v>
      </c>
      <c r="D25" s="1" t="str">
        <f>IF(Francais,"PICK* 18"" x 24"" Incl. 1 Presse-feuille Bleu, 1 Blanc " &amp; "&amp;" &amp; " Cibles d'Étalonnage","18"" x 24"" PICK* Incl. 1 White, Blue Leaf Press " &amp; "&amp;" &amp; " Calibration Targets")</f>
        <v>18" x 24" PICK* Incl. 1 White, Blue Leaf Press &amp; Calibration Targets</v>
      </c>
      <c r="E25" s="49"/>
      <c r="G25" s="167">
        <f>Calc!A32</f>
        <v>428</v>
      </c>
      <c r="H25" s="168"/>
      <c r="I25" s="801"/>
      <c r="J25" s="14"/>
    </row>
    <row r="26" spans="1:10" x14ac:dyDescent="0.2">
      <c r="A26" s="785"/>
      <c r="B26" s="205"/>
      <c r="C26" s="16"/>
      <c r="D26" s="1" t="str">
        <f>IF(Francais,"Fond Bleu pour Analyse Couleur","Blue Background for Color Analysis")</f>
        <v>Blue Background for Color Analysis</v>
      </c>
      <c r="E26" s="49"/>
      <c r="G26" s="167">
        <f>INDEX((PrixBlBgSTD_LA_LC),,,CAM_IndexScanner)</f>
        <v>26</v>
      </c>
      <c r="H26" s="168"/>
      <c r="I26" s="801"/>
      <c r="J26" s="14"/>
    </row>
    <row r="27" spans="1:10" x14ac:dyDescent="0.2">
      <c r="B27" s="224"/>
      <c r="C27" s="415"/>
      <c r="D27" s="208" t="s">
        <v>17</v>
      </c>
      <c r="E27" s="241"/>
      <c r="F27" s="208"/>
      <c r="G27" s="242"/>
      <c r="H27" s="208"/>
      <c r="I27" s="225"/>
      <c r="J27" s="14"/>
    </row>
    <row r="28" spans="1:10" x14ac:dyDescent="0.2">
      <c r="C28" s="50"/>
      <c r="I28" s="1"/>
      <c r="J28" s="14"/>
    </row>
    <row r="29" spans="1:10" x14ac:dyDescent="0.2">
      <c r="A29" s="439"/>
      <c r="B29" s="439"/>
      <c r="C29" s="439"/>
      <c r="D29" s="439"/>
      <c r="E29" s="441" t="str">
        <f>IF(Francais,"Pour des questions ou pour placer une commande, contactez:","For questions or to place an order contact: ")</f>
        <v xml:space="preserve">For questions or to place an order contact: </v>
      </c>
      <c r="F29" s="439" t="s">
        <v>164</v>
      </c>
      <c r="G29" s="439"/>
      <c r="H29" s="439"/>
      <c r="I29" s="439"/>
    </row>
  </sheetData>
  <sheetProtection algorithmName="SHA-512" hashValue="4srGS7XrTHYtMIqcJiAR4DR+sdCEwl2s04ckOdLljLFI8cnBd2BakQIIp6JFLyCs9go9EKgq79ct+VrkHVkjMw==" saltValue="s8M0oesBotRZ14QymYERzQ==" spinCount="100000" sheet="1" objects="1" scenarios="1" selectLockedCells="1"/>
  <mergeCells count="12">
    <mergeCell ref="J13:J16"/>
    <mergeCell ref="A5:A8"/>
    <mergeCell ref="J4:J10"/>
    <mergeCell ref="I24:I26"/>
    <mergeCell ref="D16:E16"/>
    <mergeCell ref="F5:I5"/>
    <mergeCell ref="G15:H16"/>
    <mergeCell ref="A24:A26"/>
    <mergeCell ref="A10:A12"/>
    <mergeCell ref="D15:E15"/>
    <mergeCell ref="A14:A21"/>
    <mergeCell ref="D14:E14"/>
  </mergeCells>
  <conditionalFormatting sqref="D15:D16 D18:D21">
    <cfRule type="expression" dxfId="69" priority="66">
      <formula>NOT(Checkbox_Descriptions)</formula>
    </cfRule>
  </conditionalFormatting>
  <conditionalFormatting sqref="G22 D22:E22">
    <cfRule type="expression" dxfId="68" priority="64">
      <formula>IF(CAM_IndexScanner=2,0,1)</formula>
    </cfRule>
  </conditionalFormatting>
  <conditionalFormatting sqref="G22 D22:E22">
    <cfRule type="expression" dxfId="67" priority="63">
      <formula>IF(CAM_ClientWithOrWithoutScanner=1,0,1)</formula>
    </cfRule>
  </conditionalFormatting>
  <conditionalFormatting sqref="H2 H4 G11 H13 G14 H23">
    <cfRule type="expression" dxfId="66" priority="69">
      <formula>OR(IndexZone=5)</formula>
    </cfRule>
    <cfRule type="expression" dxfId="65" priority="70">
      <formula>OR(IndexZone=3, IndexZone=8, IndexZone=10)</formula>
    </cfRule>
  </conditionalFormatting>
  <conditionalFormatting sqref="H14">
    <cfRule type="expression" dxfId="64" priority="41">
      <formula>ISTEXT($H$14)</formula>
    </cfRule>
  </conditionalFormatting>
  <conditionalFormatting sqref="C24">
    <cfRule type="expression" dxfId="63" priority="38">
      <formula>NOT(Checkbox_Descriptions)</formula>
    </cfRule>
  </conditionalFormatting>
  <conditionalFormatting sqref="D6:D7">
    <cfRule type="expression" dxfId="62" priority="26">
      <formula>NOT(Checkbox_Descriptions)</formula>
    </cfRule>
  </conditionalFormatting>
  <conditionalFormatting sqref="D9">
    <cfRule type="expression" dxfId="61" priority="25">
      <formula>NOT(Checkbox_Descriptions)</formula>
    </cfRule>
  </conditionalFormatting>
  <conditionalFormatting sqref="A5">
    <cfRule type="expression" dxfId="60" priority="22">
      <formula>NOT(Checkbox_Instructions)</formula>
    </cfRule>
  </conditionalFormatting>
  <conditionalFormatting sqref="A10">
    <cfRule type="expression" dxfId="59" priority="21">
      <formula>NOT(Checkbox_Instructions)</formula>
    </cfRule>
  </conditionalFormatting>
  <conditionalFormatting sqref="D17">
    <cfRule type="expression" dxfId="58" priority="6">
      <formula>NOT(Checkbox_Descriptions)</formula>
    </cfRule>
  </conditionalFormatting>
  <conditionalFormatting sqref="A14">
    <cfRule type="expression" dxfId="57" priority="4">
      <formula>NOT(Checkbox_Instructions)</formula>
    </cfRule>
  </conditionalFormatting>
  <conditionalFormatting sqref="J4">
    <cfRule type="expression" dxfId="55" priority="2">
      <formula>NOT(Checkbox_Instructions)</formula>
    </cfRule>
  </conditionalFormatting>
  <conditionalFormatting sqref="A24">
    <cfRule type="expression" dxfId="54" priority="1">
      <formula>NOT(Checkbox_Instructions)</formula>
    </cfRule>
  </conditionalFormatting>
  <dataValidations count="1">
    <dataValidation type="custom" allowBlank="1" showInputMessage="1" showErrorMessage="1" sqref="G15:H16 F5 F9" xr:uid="{00000000-0002-0000-0700-000000000000}">
      <formula1>"&lt;0&gt;0"</formula1>
    </dataValidation>
  </dataValidations>
  <hyperlinks>
    <hyperlink ref="F29" r:id="rId1" xr:uid="{00000000-0004-0000-07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8065" r:id="rId5" name="Check Box 1">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88075" r:id="rId6" name="CheckBoxDetails">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88076" r:id="rId7" name="Drop Down 1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88077" r:id="rId8" name="Drop Down 13">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88080" r:id="rId9" name="Drop Down 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88085" r:id="rId10" name="Drop Down 21">
              <controlPr defaultSize="0" autoLine="0" autoPict="0">
                <anchor moveWithCells="1" sizeWithCells="1">
                  <from>
                    <xdr:col>5</xdr:col>
                    <xdr:colOff>368300</xdr:colOff>
                    <xdr:row>21</xdr:row>
                    <xdr:rowOff>25400</xdr:rowOff>
                  </from>
                  <to>
                    <xdr:col>5</xdr:col>
                    <xdr:colOff>749300</xdr:colOff>
                    <xdr:row>21</xdr:row>
                    <xdr:rowOff>177800</xdr:rowOff>
                  </to>
                </anchor>
              </controlPr>
            </control>
          </mc:Choice>
        </mc:AlternateContent>
        <mc:AlternateContent xmlns:mc="http://schemas.openxmlformats.org/markup-compatibility/2006">
          <mc:Choice Requires="x14">
            <control shapeId="88087" r:id="rId11" name="Drop Down 23">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88089" r:id="rId12" name="Drop Down 25">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88078" r:id="rId13"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88088" r:id="rId14" name="Drop Down 24">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88090" r:id="rId15" name="Drop Down 26">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88091" r:id="rId16" name="ScannerCheckbox">
              <controlPr defaultSize="0" autoFill="0" autoLine="0" autoPict="0">
                <anchor moveWithCells="1" sizeWithCells="1">
                  <from>
                    <xdr:col>1</xdr:col>
                    <xdr:colOff>101600</xdr:colOff>
                    <xdr:row>13</xdr:row>
                    <xdr:rowOff>355600</xdr:rowOff>
                  </from>
                  <to>
                    <xdr:col>2</xdr:col>
                    <xdr:colOff>723900</xdr:colOff>
                    <xdr:row>15</xdr:row>
                    <xdr:rowOff>25400</xdr:rowOff>
                  </to>
                </anchor>
              </controlPr>
            </control>
          </mc:Choice>
        </mc:AlternateContent>
        <mc:AlternateContent xmlns:mc="http://schemas.openxmlformats.org/markup-compatibility/2006">
          <mc:Choice Requires="x14">
            <control shapeId="88093" r:id="rId17"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mc:AlternateContent xmlns:mc="http://schemas.openxmlformats.org/markup-compatibility/2006">
          <mc:Choice Requires="x14">
            <control shapeId="88094" r:id="rId18" name="PosiOrBlueBG_Checkbox">
              <controlPr defaultSize="0" autoFill="0" autoLine="0" autoPict="0">
                <anchor moveWithCells="1" sizeWithCells="1">
                  <from>
                    <xdr:col>1</xdr:col>
                    <xdr:colOff>101600</xdr:colOff>
                    <xdr:row>19</xdr:row>
                    <xdr:rowOff>165100</xdr:rowOff>
                  </from>
                  <to>
                    <xdr:col>2</xdr:col>
                    <xdr:colOff>2870200</xdr:colOff>
                    <xdr:row>21</xdr:row>
                    <xdr:rowOff>25400</xdr:rowOff>
                  </to>
                </anchor>
              </controlPr>
            </control>
          </mc:Choice>
        </mc:AlternateContent>
        <mc:AlternateContent xmlns:mc="http://schemas.openxmlformats.org/markup-compatibility/2006">
          <mc:Choice Requires="x14">
            <control shapeId="88095" r:id="rId19"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B0F0"/>
    <pageSetUpPr fitToPage="1"/>
  </sheetPr>
  <dimension ref="A1:P29"/>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8" width="14.1640625" style="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WinDENDRO™ Price List V. 2025 in Euros Currency</v>
      </c>
      <c r="C1" s="411"/>
      <c r="H1" s="15"/>
      <c r="I1" s="408" t="str">
        <f>IF(Francais,"Valide jusqu'au","Valid until")</f>
        <v>Valid until</v>
      </c>
    </row>
    <row r="2" spans="1:16" ht="28.25" customHeight="1" x14ac:dyDescent="0.2">
      <c r="A2" s="413" t="s">
        <v>181</v>
      </c>
      <c r="B2" s="403"/>
      <c r="C2" s="404"/>
      <c r="D2" s="404"/>
      <c r="E2" s="405" t="str">
        <f>IF(AND(DENDRO_N_Software=1,DENDRO_N_UpgradeUpdate=1,DENDRO_N_System&gt;1),
IF(Francais,"Système","")&amp;IF(DENDRO_IndexScanner=1," STD4800"," LA2400")&amp;IF(Francais,""," System"),
IF(AND(DENDRO_N_System&gt;1,Francais),"Système ","")&amp;LEFT(INDEX(DENDRO_SoftwareFullNames,DENDRO_IndexSoftware),FIND(" ",INDEX(DENDRO_SoftwareFullNames,DENDRO_IndexSoftware),FIND(" ",INDEX(DENDRO_SoftwareFullNames,DENDRO_IndexSoftware))+1)) &amp;
DENDRO_YearMostRecent &amp;IF(DENDRO_N_System&gt;1,IF(DENDRO_IndexScanner=1," STD4800"," LA2400")&amp;IF(Francais,""," System"),IF(AND(DENDRO_N_Software=1,DENDRO_N_System=1,DENDRO_N_UpgradeUpdate&gt;1),IF(Francais," Mise à jour",IF(Francais," Mise à jour"," Update")),IF(Francais," Logiciel"," Software"))))&amp;
IF(AND(DENDRO_ClientWithOrWithoutScanner=2,DENDRO_N_System&gt;1),IF(Francais," Sans Scanner"," Without Scanner"),IF(Francais," Avec Scanner"," With Scanner"))</f>
        <v>WinDENDRO™ Reg 2025 Software With Scanner</v>
      </c>
      <c r="F2" s="406"/>
      <c r="G2" s="405" t="s">
        <v>16</v>
      </c>
      <c r="H2" s="407">
        <f>(H11)+IF(ISNUMBER(H14),H14,0)+IFERROR(#REF!,0)+H22</f>
        <v>0</v>
      </c>
      <c r="I2" s="409" t="s">
        <v>789</v>
      </c>
    </row>
    <row r="3" spans="1:16" ht="18" customHeight="1" x14ac:dyDescent="0.2">
      <c r="B3" s="37"/>
      <c r="C3" s="138"/>
      <c r="D3" s="138"/>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55"/>
      <c r="C4" s="156" t="str">
        <f>IF(Francais,"Logiciel","Software")</f>
        <v>Software</v>
      </c>
      <c r="D4" s="157"/>
      <c r="E4" s="157"/>
      <c r="F4" s="158"/>
      <c r="G4" s="159" t="str">
        <f>IF(Francais,"SOUS-TOTAL LOGICIEL:","SOFTWARE SUBTOTAL:")</f>
        <v>SOFTWARE SUBTOTAL:</v>
      </c>
      <c r="H4" s="160">
        <f>H11+IFERROR(#REF!,0)</f>
        <v>0</v>
      </c>
      <c r="I4" s="161"/>
      <c r="J4" s="796" t="str">
        <f>IF(Francais,
"3) Si vous avez déjà "&amp; A2 &amp; ", indiquez combien de licences (pour un rabais)." &amp; CONCATENATE(CHAR(10), REPT(" ", 9), "↓"),
"3) If you already own "&amp; A2 &amp; ", indicate how many licences (to get a discount)." &amp; CONCATENATE(CHAR(10), REPT(" ", 9), "↓"))</f>
        <v>3) If you already own WinDENDRO™, indicate how many licences (to get a discount).
         ↓</v>
      </c>
    </row>
    <row r="5" spans="1:16" s="11" customFormat="1" ht="18" customHeight="1" x14ac:dyDescent="0.2">
      <c r="A5" s="795" t="str">
        <f>IF(Francais,"1) Choisir le        → modèle du logiciel à acheter / mettre à jour.","1) Choose the → software model to buy or update.")</f>
        <v>1) Choose the → software model to buy or update.</v>
      </c>
      <c r="B5" s="493"/>
      <c r="C5" s="140" t="str">
        <f>$A$2&amp; IF(Francais," Modèle logiciel"," Software Model")</f>
        <v>WinDENDRO™ Software Model</v>
      </c>
      <c r="D5" s="141"/>
      <c r="E5" s="1"/>
      <c r="F5" s="793" t="str">
        <f>IF(Checkbox_Instructions,HYPERLINK("https://regentinstruments.com/assets/" &amp; LOWER(LEFT($A$2,LEN($A$2)-1)) &amp; "_software.html?utm_source=PriceQuoteXLS",IF(Francais,"Cliquez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804"/>
      <c r="J5" s="796"/>
    </row>
    <row r="6" spans="1:16" ht="18" customHeight="1" x14ac:dyDescent="0.2">
      <c r="A6" s="795"/>
      <c r="B6" s="162"/>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WinDENDRO™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62"/>
      <c r="C7" s="1" t="str">
        <f>"• XLSTEM™: " &amp; IF(Francais,"Logiciel pour analyse de tige (requiert MS Excel, non-inclus)","Software for Stem Analysis (requires MS Excel, not included)")</f>
        <v>• XLSTEM™: Software for Stem Analysis (requires MS Excel, not included)</v>
      </c>
      <c r="D7" s="287"/>
      <c r="E7" s="287"/>
      <c r="G7" s="144"/>
      <c r="I7" s="164"/>
      <c r="J7" s="796"/>
    </row>
    <row r="8" spans="1:16" ht="18" customHeight="1" x14ac:dyDescent="0.2">
      <c r="A8" s="795"/>
      <c r="B8" s="165"/>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165"/>
      <c r="D9" s="287"/>
      <c r="E9" s="287"/>
      <c r="F9" s="446"/>
      <c r="G9" s="446"/>
      <c r="H9" s="446"/>
      <c r="I9" s="434"/>
      <c r="J9" s="796"/>
      <c r="K9" s="428"/>
      <c r="L9" s="428"/>
      <c r="M9" s="428"/>
      <c r="N9" s="428"/>
      <c r="O9" s="428"/>
      <c r="P9" s="428"/>
    </row>
    <row r="10" spans="1:16" ht="8" customHeight="1" x14ac:dyDescent="0.2">
      <c r="A10" s="798" t="str">
        <f>IF(Francais,"2) Choisir combien de nouvelle(s)    → license(s).","2) Select how many new   → license(s).")</f>
        <v>2) Select how many new   → license(s).</v>
      </c>
      <c r="B10" s="165"/>
      <c r="D10" s="145"/>
      <c r="E10" s="7"/>
      <c r="F10" s="7"/>
      <c r="G10" s="146"/>
      <c r="I10" s="427"/>
      <c r="J10" s="796"/>
      <c r="L10" s="203"/>
      <c r="P10" s="425"/>
    </row>
    <row r="11" spans="1:16" ht="31" customHeight="1" x14ac:dyDescent="0.2">
      <c r="A11" s="798"/>
      <c r="B11" s="494"/>
      <c r="C11" s="140" t="str">
        <f>IF(Francais,"Nouvelle(s) License(s) Logiciel " &amp; $A$2,"New "&amp;$A$2&amp;" Software License(s)")</f>
        <v>New WinDENDRO™ Software License(s)</v>
      </c>
      <c r="D11" s="142"/>
      <c r="E11" s="142"/>
      <c r="F11" s="142"/>
      <c r="G11" s="143">
        <f>IFERROR(H11/(DENDRO_N_Software-1),0)</f>
        <v>0</v>
      </c>
      <c r="H11" s="275">
        <f>ROUND((INDEX(DENDRO_SoftwarePriceList,DENDRO_IndexSoftware))*
IF(DENDRO_N_Software-1=0,0,SUM(MMULT(
  _xlfn.MUNIT(
   DENDRO_N_Software-1),
    INDEX(TableLists[Column10],DENDRO_N_AlreadyHaveSoftware-1+2):
    INDEX(TableLists[Column10],(DENDRO_N_AlreadyHaveSoftware-1+1)+(DENDRO_N_Software-1))
))),0)</f>
        <v>0</v>
      </c>
      <c r="I11" s="163">
        <v>852349</v>
      </c>
      <c r="J11" s="203" t="str">
        <f>IF(Francais,"  Je possède", "  I own")</f>
        <v xml:space="preserve">  I own</v>
      </c>
      <c r="L11" s="203"/>
    </row>
    <row r="12" spans="1:16" ht="15.75" customHeight="1" x14ac:dyDescent="0.2">
      <c r="A12" s="798"/>
      <c r="B12" s="166"/>
      <c r="C12" s="805"/>
      <c r="D12" s="805"/>
      <c r="E12" s="805"/>
      <c r="F12" s="805"/>
      <c r="G12" s="805"/>
      <c r="H12" s="805"/>
      <c r="I12" s="806"/>
    </row>
    <row r="13" spans="1:16" ht="30" customHeight="1" x14ac:dyDescent="0.2">
      <c r="B13" s="169"/>
      <c r="C13" s="170" t="str">
        <f>IF(Francais,"Matériel","Hardware")</f>
        <v>Hardware</v>
      </c>
      <c r="D13" s="171"/>
      <c r="E13" s="171"/>
      <c r="F13" s="171"/>
      <c r="G13" s="172" t="str">
        <f>IF(Francais,"SOUS-TOTAL MATÉRIEL:","HARDWARE SUBTOTAL:")</f>
        <v>HARDWARE SUBTOTAL:</v>
      </c>
      <c r="H13" s="173">
        <f>IF(ISNUMBER(H14),H14,0)+H22</f>
        <v>0</v>
      </c>
      <c r="I13" s="174"/>
      <c r="J13" s="791" t="str">
        <f>IF(Checkbox_Updates=FALSE,IF(Francais,"License(s) Logiciel " &amp; $A$2,$A$2&amp;" Software License(s)"),"")</f>
        <v>WinDENDRO™ Software License(s)</v>
      </c>
    </row>
    <row r="14" spans="1:16" s="11" customFormat="1" ht="30.75" customHeight="1" x14ac:dyDescent="0.2">
      <c r="A14" s="792" t="str">
        <f>IF(Checkbox_Updates=TRUE, "5) ", "4) ") &amp;
IF(Francais,"Choisir 1 ou + → pour un système avec ou sans scanner et choisir le modèle. ""Sans"" est lorque vous en avez déjà un ou devez l'acheter localement.","Select 1 or + → to get a system with or without a scanner and choose the model. ""Without"" is when you already have it or buy it locally.")</f>
        <v>4) Select 1 or + → to get a system with or without a scanner and choose the model. "Without" is when you already have it or buy it locally.</v>
      </c>
      <c r="B14" s="495"/>
      <c r="C14" s="140" t="str">
        <f>IF(Francais,"Système " &amp; $A$2, $A$2 &amp; " System")</f>
        <v>WinDENDRO™ System</v>
      </c>
      <c r="D14" s="807" t="str">
        <f>IF(Francais,
"Incluant:",
"Including:")</f>
        <v>Including:</v>
      </c>
      <c r="E14" s="807"/>
      <c r="F14" s="142"/>
      <c r="G14" s="147">
        <f>IFERROR(H14/(DENDRO_N_System-1),0)</f>
        <v>0</v>
      </c>
      <c r="H14" s="276">
        <f>IF(AND(DENDRO_N_Software=1,DENDRO_N_UpgradeUpdate=1,NOT(SuperUser),DENDRO_N_System&gt;1),IF(Francais,"vendu avec logiciel uniquement","sold with software only"),
ROUND(IF(DENDRO_ClientWithOrWithoutScanner=1,
   IF(DENDRO_IndexScanner=1,PrixSTD,PrixLA),
     IF(DENDRO_IndexScanner=1,STD_GenCalib_Drivers_Instr_Techsup,LA_GenCalib_Drivers_Instr_Techsup)
)*(DENDRO_N_System-1)+G21*(DENDRO_OptionTPU-1),0))</f>
        <v>0</v>
      </c>
      <c r="I14" s="175">
        <v>903149</v>
      </c>
      <c r="J14" s="791"/>
    </row>
    <row r="15" spans="1:16" ht="15.75" customHeight="1" x14ac:dyDescent="0.2">
      <c r="A15" s="792"/>
      <c r="B15" s="217"/>
      <c r="C15" s="397" t="str">
        <f>"• Scanner"</f>
        <v>• Scanner</v>
      </c>
      <c r="D15" s="790" t="str">
        <f>IF(DENDRO_ClientWithOrWithoutScanner=1,
IF(Francais,
"• Documentation, logiciels et accessoires du manufacturier",
"• Manufacturer documentation, software and accessories"),
IF(Francais,"• Scanner non inclus","• No scanner included"))</f>
        <v>• Manufacturer documentation, software and accessories</v>
      </c>
      <c r="E15" s="790"/>
      <c r="G15" s="788" t="str">
        <f>IF(Checkbox_Instructions,HYPERLINK("https://regentinstruments.com/assets/ourscanners.html?utm_source=PriceQuoteXLS",IF(Francais,"Cliquez pour voir les spécifications de nos scanners","Click to view our scanners specifications")),"")</f>
        <v>Click to view our scanners specifications</v>
      </c>
      <c r="H15" s="788"/>
      <c r="I15" s="177"/>
      <c r="J15" s="791"/>
    </row>
    <row r="16" spans="1:16" ht="15.75" customHeight="1" x14ac:dyDescent="0.2">
      <c r="A16" s="792"/>
      <c r="B16" s="176"/>
      <c r="C16" s="398" t="str">
        <f>IF(Francais,"   (seulement vendu avec logiciel)","   (sold with software only)")</f>
        <v xml:space="preserve">   (sold with software only)</v>
      </c>
      <c r="D16" s="790"/>
      <c r="E16" s="790"/>
      <c r="G16" s="788"/>
      <c r="H16" s="788"/>
      <c r="I16" s="178"/>
      <c r="J16" s="791"/>
    </row>
    <row r="17" spans="1:10" ht="15.75" customHeight="1" x14ac:dyDescent="0.2">
      <c r="A17" s="792"/>
      <c r="B17" s="176"/>
      <c r="D17" s="49" t="str">
        <f>IF(Francais,
"• Calibration, Manuel Installation &amp; Utilisation Scanner pour " &amp; A2 &amp; IF(OR(A2="WinRHIZO™",A2="WinSEEDLE™")," &amp; vidéo","") &amp; ", Pilote TWAIN et support technique pour l'acquisition d'image de Cernes.",
"• Calibration, Scanner Installation &amp; Utilisation for " &amp; A2 &amp; " manual" &amp; IF(OR(A2="WinRHIZO™",A2="WinSEEDLE™")," &amp; video","") &amp; ", TWAIN driver and Technical support for Rings image acquisition.")</f>
        <v>• Calibration, Scanner Installation &amp; Utilisation for WinDENDRO™ manual, TWAIN driver and Technical support for Rings image acquisition.</v>
      </c>
      <c r="E17" s="148"/>
      <c r="F17" s="148"/>
      <c r="I17" s="179"/>
    </row>
    <row r="18" spans="1:10" ht="8" customHeight="1" x14ac:dyDescent="0.2">
      <c r="A18" s="792"/>
      <c r="B18" s="217"/>
      <c r="I18" s="179"/>
    </row>
    <row r="19" spans="1:10" ht="15.75" customHeight="1" x14ac:dyDescent="0.2">
      <c r="A19" s="792"/>
      <c r="B19" s="176"/>
      <c r="C19" s="16"/>
      <c r="H19" s="149"/>
      <c r="I19" s="179"/>
    </row>
    <row r="20" spans="1:10" ht="15.75" customHeight="1" x14ac:dyDescent="0.2">
      <c r="A20" s="792"/>
      <c r="B20" s="176"/>
      <c r="H20" s="149"/>
      <c r="I20" s="179"/>
    </row>
    <row r="21" spans="1:10" ht="15.75" customHeight="1" x14ac:dyDescent="0.2">
      <c r="A21" s="792"/>
      <c r="B21" s="176"/>
      <c r="D21" s="150" t="str">
        <f>IF(Francais,"Option (pour LA seulement)","Option (for LA only):")</f>
        <v>Option (for LA only):</v>
      </c>
      <c r="E21" s="49" t="str">
        <f>IF(Francais,"• Lumière spéciale (LS) pour scanner Films RayonX, Racines, Graines ou Aiguilles","• Special Light (SL) for Xray Films, Roots, Seeds and Needles scanning")</f>
        <v>• Special Light (SL) for Xray Films, Roots, Seeds and Needles scanning</v>
      </c>
      <c r="G21" s="151">
        <f>IF(DENDRO_ClientWithOrWithoutScanner=1,IF(DENDRO_IndexScanner=2,PrixTPU,0),0)</f>
        <v>0</v>
      </c>
      <c r="H21" s="149"/>
      <c r="I21" s="179"/>
      <c r="J21" s="14"/>
    </row>
    <row r="22" spans="1:10" ht="18" customHeight="1" x14ac:dyDescent="0.2">
      <c r="B22" s="496"/>
      <c r="C22" s="140" t="str">
        <f>IF(Francais, "Accessoires Optionnels","Optional Accessories")</f>
        <v>Optional Accessories</v>
      </c>
      <c r="D22" s="152"/>
      <c r="E22" s="142"/>
      <c r="F22" s="142"/>
      <c r="G22" s="153" t="str">
        <f>IF(Francais,"Sous-Total Accessoires : ","Sub-Total Accessories : ")</f>
        <v xml:space="preserve">Sub-Total Accessories : </v>
      </c>
      <c r="H22" s="154">
        <f>ROUND(G23*(DENDRO_Option1-1)+
G24*(DENDRO_Option2-1)+
G25*(DENDRO_Option3-1)+
G26*(DENDRO_Option4-1),0)</f>
        <v>0</v>
      </c>
      <c r="I22" s="175">
        <v>847330</v>
      </c>
    </row>
    <row r="23" spans="1:10" ht="15.75" customHeight="1" x14ac:dyDescent="0.2">
      <c r="B23" s="180"/>
      <c r="C23" s="7"/>
      <c r="D23" s="1" t="str">
        <f>IF(Francais,"Étalon de réflectance bleue","Blue Reflectance Target")</f>
        <v>Blue Reflectance Target</v>
      </c>
      <c r="G23" s="167">
        <f>IF(OR(DENDRO_IndexSoftware=3,DENDRO_IndexSoftware=6),PrixTarget,0)</f>
        <v>0</v>
      </c>
      <c r="H23" s="168"/>
      <c r="I23" s="181"/>
      <c r="J23" s="14"/>
    </row>
    <row r="24" spans="1:10" ht="15.75" customHeight="1" x14ac:dyDescent="0.2">
      <c r="A24" s="785" t="str">
        <f>IF(Checkbox_Updates=TRUE,
IF(Francais,"6) Choisir accessoires en extra si désiré. →","6) Choose extra accessories if you want. →"),
SUBSTITUTE(IF(Francais,"6) Choisir accessoires en extra si désiré. →","6) Choose extra accessories if you want. →"),"6)","5)"))</f>
        <v>5) Choose extra accessories if you want. →</v>
      </c>
      <c r="B24" s="180"/>
      <c r="C24" s="440"/>
      <c r="D24" s="1" t="str">
        <f>IF(Francais,"Support pour carottes 22 cm (pour scanners STD &amp; LA)","22 cm Core Holder (for STD &amp; LA scanners)")</f>
        <v>22 cm Core Holder (for STD &amp; LA scanners)</v>
      </c>
      <c r="F24" s="2"/>
      <c r="G24" s="167">
        <f>PrixCoreHolder22</f>
        <v>163</v>
      </c>
      <c r="H24" s="168"/>
      <c r="I24" s="181"/>
    </row>
    <row r="25" spans="1:10" ht="15.75" customHeight="1" x14ac:dyDescent="0.2">
      <c r="A25" s="785"/>
      <c r="B25" s="180"/>
      <c r="C25" s="16" t="str">
        <f>IF(Francais,"   (avec l'achat ou la possession de WinDENDRO uniquement)","   (if you buy or own WinDENDRO only)")</f>
        <v xml:space="preserve">   (if you buy or own WinDENDRO only)</v>
      </c>
      <c r="D25" s="1" t="str">
        <f>IF(Francais,"Support pour carottes 36 cm (pour scanners LA seulement)","36 cm Core Holder (for LA scanner only)")</f>
        <v>36 cm Core Holder (for LA scanner only)</v>
      </c>
      <c r="G25" s="167">
        <f>IF(DENDRO_IndexScanner=1,0,PrixCoreHolder36)</f>
        <v>0</v>
      </c>
      <c r="H25" s="168"/>
      <c r="I25" s="181"/>
      <c r="J25" s="14"/>
    </row>
    <row r="26" spans="1:10" ht="15.75" customHeight="1" x14ac:dyDescent="0.2">
      <c r="A26" s="785"/>
      <c r="B26" s="180"/>
      <c r="C26" s="7"/>
      <c r="D26" s="1" t="str">
        <f>IF(Francais,"Positionneur de carotte (pour scanner LA seulement)","Core Positioner (for LA scanner only)")</f>
        <v>Core Positioner (for LA scanner only)</v>
      </c>
      <c r="F26" s="199"/>
      <c r="G26" s="184">
        <f>IF(DENDRO_IndexScanner=1,0,PrixCorePosiLA)</f>
        <v>0</v>
      </c>
      <c r="H26" s="185"/>
      <c r="I26" s="181"/>
      <c r="J26" s="14"/>
    </row>
    <row r="27" spans="1:10" ht="15.75" customHeight="1" x14ac:dyDescent="0.2">
      <c r="B27" s="182"/>
      <c r="C27" s="414"/>
      <c r="D27" s="183" t="str">
        <f>IF(Francais,"Positionneur de carotte (pour scanner STD seulement)","Core Positioner (for STD scanner only)")</f>
        <v>Core Positioner (for STD scanner only)</v>
      </c>
      <c r="E27" s="289"/>
      <c r="F27" s="183"/>
      <c r="G27" s="376">
        <f>IF(DENDRO_IndexScanner=2,0,PrixCorePosiSTD)</f>
        <v>37</v>
      </c>
      <c r="H27" s="377"/>
      <c r="I27" s="186"/>
    </row>
    <row r="28" spans="1:10" ht="15.75" customHeight="1" x14ac:dyDescent="0.2">
      <c r="C28" s="47"/>
      <c r="D28" s="2"/>
      <c r="I28" s="1"/>
    </row>
    <row r="29" spans="1:10" ht="15.75" customHeight="1" x14ac:dyDescent="0.2">
      <c r="A29" s="439"/>
      <c r="B29" s="439"/>
      <c r="C29" s="439"/>
      <c r="D29" s="439"/>
      <c r="E29" s="441" t="str">
        <f>IF(Francais,"Pour des questions ou pour placer une commande, contactez:","For questions or to place an order contact: ")</f>
        <v xml:space="preserve">For questions or to place an order contact: </v>
      </c>
      <c r="F29" s="439" t="s">
        <v>164</v>
      </c>
      <c r="G29" s="439"/>
      <c r="H29" s="439"/>
      <c r="I29" s="439"/>
    </row>
  </sheetData>
  <sheetProtection algorithmName="SHA-512" hashValue="DxdJzgGFa7H9+TDrUksdxl0/BhU0m+7KReqvmBwGN8sDUE6y/gdnyDvalYM8oYjGijLHr6EKlzUPPMe6XRJMWw==" saltValue="wQsNGlKZn4bFa+qjitvQ2A==" spinCount="100000" sheet="1" objects="1" scenarios="1" selectLockedCells="1"/>
  <mergeCells count="11">
    <mergeCell ref="A24:A26"/>
    <mergeCell ref="F5:I5"/>
    <mergeCell ref="A5:A8"/>
    <mergeCell ref="D15:E16"/>
    <mergeCell ref="J13:J16"/>
    <mergeCell ref="J4:J10"/>
    <mergeCell ref="G15:H16"/>
    <mergeCell ref="C12:I12"/>
    <mergeCell ref="D14:E14"/>
    <mergeCell ref="A10:A12"/>
    <mergeCell ref="A14:A21"/>
  </mergeCells>
  <conditionalFormatting sqref="D21:E21 G21 G25:G26 D25:D26">
    <cfRule type="expression" dxfId="53" priority="103">
      <formula>IF(DENDRO_IndexScanner=1,1,0)</formula>
    </cfRule>
  </conditionalFormatting>
  <conditionalFormatting sqref="D23 G23">
    <cfRule type="expression" dxfId="52" priority="98">
      <formula>IF(OR(DENDRO_IndexSoftware=3,DENDRO_IndexSoftware=6),0,1)</formula>
    </cfRule>
  </conditionalFormatting>
  <conditionalFormatting sqref="D21:E21 G21">
    <cfRule type="expression" dxfId="50" priority="81">
      <formula>IF(DENDRO_ClientWithOrWithoutScanner=1,0,1)</formula>
    </cfRule>
  </conditionalFormatting>
  <conditionalFormatting sqref="C23 D15:D16 D18:D20">
    <cfRule type="expression" dxfId="49" priority="54">
      <formula>NOT(Checkbox_Descriptions)</formula>
    </cfRule>
  </conditionalFormatting>
  <conditionalFormatting sqref="H2 H4 G11 G14 H13 H22">
    <cfRule type="expression" dxfId="48" priority="35">
      <formula>OR(IndexZone=5)</formula>
    </cfRule>
    <cfRule type="expression" dxfId="47" priority="36">
      <formula>OR(IndexZone=3, IndexZone=8, IndexZone=10)</formula>
    </cfRule>
  </conditionalFormatting>
  <conditionalFormatting sqref="D27 G27">
    <cfRule type="expression" dxfId="46" priority="34">
      <formula>IF(DENDRO_IndexScanner=2,1,0)</formula>
    </cfRule>
  </conditionalFormatting>
  <conditionalFormatting sqref="H14">
    <cfRule type="expression" dxfId="45" priority="32">
      <formula>ISTEXT($H$14)</formula>
    </cfRule>
  </conditionalFormatting>
  <conditionalFormatting sqref="C24">
    <cfRule type="expression" dxfId="44" priority="28">
      <formula>NOT(Checkbox_Descriptions)</formula>
    </cfRule>
  </conditionalFormatting>
  <conditionalFormatting sqref="A5">
    <cfRule type="expression" dxfId="43" priority="26">
      <formula>NOT(Checkbox_Instructions)</formula>
    </cfRule>
  </conditionalFormatting>
  <conditionalFormatting sqref="A10">
    <cfRule type="expression" dxfId="42" priority="18">
      <formula>NOT(Checkbox_Instructions)</formula>
    </cfRule>
  </conditionalFormatting>
  <conditionalFormatting sqref="F9">
    <cfRule type="expression" dxfId="41" priority="17">
      <formula>NOT(Checkbox_Instructions)</formula>
    </cfRule>
  </conditionalFormatting>
  <conditionalFormatting sqref="D6:D7">
    <cfRule type="expression" dxfId="40" priority="16">
      <formula>NOT(Checkbox_Descriptions)</formula>
    </cfRule>
  </conditionalFormatting>
  <conditionalFormatting sqref="D9">
    <cfRule type="expression" dxfId="39" priority="15">
      <formula>NOT(Checkbox_Descriptions)</formula>
    </cfRule>
  </conditionalFormatting>
  <conditionalFormatting sqref="D17">
    <cfRule type="expression" dxfId="38" priority="6">
      <formula>NOT(Checkbox_Descriptions)</formula>
    </cfRule>
  </conditionalFormatting>
  <conditionalFormatting sqref="A14">
    <cfRule type="expression" dxfId="37" priority="4">
      <formula>NOT(Checkbox_Instructions)</formula>
    </cfRule>
  </conditionalFormatting>
  <conditionalFormatting sqref="J4">
    <cfRule type="expression" dxfId="35" priority="2">
      <formula>NOT(Checkbox_Instructions)</formula>
    </cfRule>
  </conditionalFormatting>
  <conditionalFormatting sqref="A24">
    <cfRule type="expression" dxfId="34" priority="1">
      <formula>NOT(Checkbox_Instructions)</formula>
    </cfRule>
  </conditionalFormatting>
  <dataValidations count="1">
    <dataValidation type="custom" allowBlank="1" showErrorMessage="1" sqref="G15:H16 F5" xr:uid="{00000000-0002-0000-0800-000000000000}">
      <formula1>"&lt;0&gt;0"</formula1>
    </dataValidation>
  </dataValidations>
  <hyperlinks>
    <hyperlink ref="F29" r:id="rId1" xr:uid="{00000000-0004-0000-0800-000000000000}"/>
  </hyperlinks>
  <pageMargins left="0.5" right="0.5" top="0.5" bottom="0.5" header="0" footer="0"/>
  <pageSetup scale="55" fitToHeight="2"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BoxDetails">
              <controlPr defaultSize="0" autoFill="0" autoLine="0" autoPict="0">
                <anchor moveWithCells="1">
                  <from>
                    <xdr:col>6</xdr:col>
                    <xdr:colOff>101600</xdr:colOff>
                    <xdr:row>0</xdr:row>
                    <xdr:rowOff>25400</xdr:rowOff>
                  </from>
                  <to>
                    <xdr:col>6</xdr:col>
                    <xdr:colOff>787400</xdr:colOff>
                    <xdr:row>0</xdr:row>
                    <xdr:rowOff>228600</xdr:rowOff>
                  </to>
                </anchor>
              </controlPr>
            </control>
          </mc:Choice>
        </mc:AlternateContent>
        <mc:AlternateContent xmlns:mc="http://schemas.openxmlformats.org/markup-compatibility/2006">
          <mc:Choice Requires="x14">
            <control shapeId="1140" r:id="rId6" name="Drop Down 116">
              <controlPr defaultSize="0" autoLine="0" autoPict="0">
                <anchor moveWithCells="1" sizeWithCells="1">
                  <from>
                    <xdr:col>1</xdr:col>
                    <xdr:colOff>0</xdr:colOff>
                    <xdr:row>13</xdr:row>
                    <xdr:rowOff>101600</xdr:rowOff>
                  </from>
                  <to>
                    <xdr:col>2</xdr:col>
                    <xdr:colOff>25400</xdr:colOff>
                    <xdr:row>13</xdr:row>
                    <xdr:rowOff>292100</xdr:rowOff>
                  </to>
                </anchor>
              </controlPr>
            </control>
          </mc:Choice>
        </mc:AlternateContent>
        <mc:AlternateContent xmlns:mc="http://schemas.openxmlformats.org/markup-compatibility/2006">
          <mc:Choice Requires="x14">
            <control shapeId="1141" r:id="rId7"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1151" r:id="rId9" name="Drop Down 127">
              <controlPr defaultSize="0" autoLine="0" autoPict="0">
                <anchor moveWithCells="1" sizeWithCells="1">
                  <from>
                    <xdr:col>5</xdr:col>
                    <xdr:colOff>368300</xdr:colOff>
                    <xdr:row>20</xdr:row>
                    <xdr:rowOff>25400</xdr:rowOff>
                  </from>
                  <to>
                    <xdr:col>5</xdr:col>
                    <xdr:colOff>749300</xdr:colOff>
                    <xdr:row>20</xdr:row>
                    <xdr:rowOff>177800</xdr:rowOff>
                  </to>
                </anchor>
              </controlPr>
            </control>
          </mc:Choice>
        </mc:AlternateContent>
        <mc:AlternateContent xmlns:mc="http://schemas.openxmlformats.org/markup-compatibility/2006">
          <mc:Choice Requires="x14">
            <control shapeId="1153" r:id="rId10" name="Drop Down 129">
              <controlPr defaultSize="0" autoLine="0" autoPict="0">
                <anchor moveWithCells="1" sizeWithCells="1">
                  <from>
                    <xdr:col>5</xdr:col>
                    <xdr:colOff>368300</xdr:colOff>
                    <xdr:row>22</xdr:row>
                    <xdr:rowOff>25400</xdr:rowOff>
                  </from>
                  <to>
                    <xdr:col>5</xdr:col>
                    <xdr:colOff>749300</xdr:colOff>
                    <xdr:row>22</xdr:row>
                    <xdr:rowOff>177800</xdr:rowOff>
                  </to>
                </anchor>
              </controlPr>
            </control>
          </mc:Choice>
        </mc:AlternateContent>
        <mc:AlternateContent xmlns:mc="http://schemas.openxmlformats.org/markup-compatibility/2006">
          <mc:Choice Requires="x14">
            <control shapeId="1154" r:id="rId11" name="Drop Down 130">
              <controlPr defaultSize="0" autoLine="0" autoPict="0">
                <anchor moveWithCells="1" sizeWithCells="1">
                  <from>
                    <xdr:col>5</xdr:col>
                    <xdr:colOff>368300</xdr:colOff>
                    <xdr:row>23</xdr:row>
                    <xdr:rowOff>25400</xdr:rowOff>
                  </from>
                  <to>
                    <xdr:col>5</xdr:col>
                    <xdr:colOff>749300</xdr:colOff>
                    <xdr:row>23</xdr:row>
                    <xdr:rowOff>177800</xdr:rowOff>
                  </to>
                </anchor>
              </controlPr>
            </control>
          </mc:Choice>
        </mc:AlternateContent>
        <mc:AlternateContent xmlns:mc="http://schemas.openxmlformats.org/markup-compatibility/2006">
          <mc:Choice Requires="x14">
            <control shapeId="1155" r:id="rId12" name="Drop Down 131">
              <controlPr defaultSize="0" autoLine="0" autoPict="0">
                <anchor moveWithCells="1" sizeWithCells="1">
                  <from>
                    <xdr:col>5</xdr:col>
                    <xdr:colOff>368300</xdr:colOff>
                    <xdr:row>24</xdr:row>
                    <xdr:rowOff>25400</xdr:rowOff>
                  </from>
                  <to>
                    <xdr:col>5</xdr:col>
                    <xdr:colOff>749300</xdr:colOff>
                    <xdr:row>24</xdr:row>
                    <xdr:rowOff>177800</xdr:rowOff>
                  </to>
                </anchor>
              </controlPr>
            </control>
          </mc:Choice>
        </mc:AlternateContent>
        <mc:AlternateContent xmlns:mc="http://schemas.openxmlformats.org/markup-compatibility/2006">
          <mc:Choice Requires="x14">
            <control shapeId="1156" r:id="rId13" name="Drop Down 132">
              <controlPr defaultSize="0" autoLine="0" autoPict="0">
                <anchor moveWithCells="1" sizeWithCells="1">
                  <from>
                    <xdr:col>5</xdr:col>
                    <xdr:colOff>368300</xdr:colOff>
                    <xdr:row>25</xdr:row>
                    <xdr:rowOff>25400</xdr:rowOff>
                  </from>
                  <to>
                    <xdr:col>5</xdr:col>
                    <xdr:colOff>749300</xdr:colOff>
                    <xdr:row>25</xdr:row>
                    <xdr:rowOff>177800</xdr:rowOff>
                  </to>
                </anchor>
              </controlPr>
            </control>
          </mc:Choice>
        </mc:AlternateContent>
        <mc:AlternateContent xmlns:mc="http://schemas.openxmlformats.org/markup-compatibility/2006">
          <mc:Choice Requires="x14">
            <control shapeId="1157" r:id="rId14" name="Drop Down 133">
              <controlPr defaultSize="0" autoLine="0" autoPict="0">
                <anchor moveWithCells="1" sizeWithCells="1">
                  <from>
                    <xdr:col>5</xdr:col>
                    <xdr:colOff>368300</xdr:colOff>
                    <xdr:row>26</xdr:row>
                    <xdr:rowOff>25400</xdr:rowOff>
                  </from>
                  <to>
                    <xdr:col>5</xdr:col>
                    <xdr:colOff>749300</xdr:colOff>
                    <xdr:row>26</xdr:row>
                    <xdr:rowOff>177800</xdr:rowOff>
                  </to>
                </anchor>
              </controlPr>
            </control>
          </mc:Choice>
        </mc:AlternateContent>
        <mc:AlternateContent xmlns:mc="http://schemas.openxmlformats.org/markup-compatibility/2006">
          <mc:Choice Requires="x14">
            <control shapeId="1158" r:id="rId15" name="Drop Down 134">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1150" r:id="rId16" name="Drop Down 126">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1139" r:id="rId17"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1138" r:id="rId18" name="Drop Down 114">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1159" r:id="rId19" name="ScannerCheckbox">
              <controlPr defaultSize="0" autoFill="0" autoLine="0" autoPict="0">
                <anchor moveWithCells="1" sizeWithCells="1">
                  <from>
                    <xdr:col>1</xdr:col>
                    <xdr:colOff>101600</xdr:colOff>
                    <xdr:row>13</xdr:row>
                    <xdr:rowOff>355600</xdr:rowOff>
                  </from>
                  <to>
                    <xdr:col>2</xdr:col>
                    <xdr:colOff>685800</xdr:colOff>
                    <xdr:row>15</xdr:row>
                    <xdr:rowOff>25400</xdr:rowOff>
                  </to>
                </anchor>
              </controlPr>
            </control>
          </mc:Choice>
        </mc:AlternateContent>
        <mc:AlternateContent xmlns:mc="http://schemas.openxmlformats.org/markup-compatibility/2006">
          <mc:Choice Requires="x14">
            <control shapeId="1161" r:id="rId20" name="DropDown_IndexScanner">
              <controlPr defaultSize="0" autoLine="0" autoPict="0">
                <anchor moveWithCells="1" sizeWithCells="1">
                  <from>
                    <xdr:col>2</xdr:col>
                    <xdr:colOff>736600</xdr:colOff>
                    <xdr:row>14</xdr:row>
                    <xdr:rowOff>0</xdr:rowOff>
                  </from>
                  <to>
                    <xdr:col>2</xdr:col>
                    <xdr:colOff>2006600</xdr:colOff>
                    <xdr:row>15</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0000"/>
    <pageSetUpPr fitToPage="1"/>
  </sheetPr>
  <dimension ref="A1:P15"/>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WinCELL™ Price List V. 2025 in Euros Currency</v>
      </c>
      <c r="C1" s="411"/>
      <c r="G1" s="412"/>
      <c r="H1" s="15"/>
      <c r="I1" s="408" t="str">
        <f>IF(Francais,"Valide jusqu'au","Valid until")</f>
        <v>Valid until</v>
      </c>
    </row>
    <row r="2" spans="1:16" ht="28.25" customHeight="1" x14ac:dyDescent="0.2">
      <c r="A2" s="413" t="s">
        <v>182</v>
      </c>
      <c r="B2" s="403"/>
      <c r="C2" s="404"/>
      <c r="D2" s="404"/>
      <c r="E2" s="405" t="str">
        <f>LEFT(INDEX(CELL_SoftwareFullNames,CELL_IndexSoftware),FIND(" ",INDEX(CELL_SoftwareFullNames,CELL_IndexSoftware),FIND(" ",INDEX(CELL_SoftwareFullNames,CELL_IndexSoftware))+1)) &amp;
CELL_YearMostRecent &amp;
IF(AND(CELL_N_Software=1,CELL_N_UpgradeUpdate&gt;1),IF(Francais," Mise à jour"," Update"),IF(Francais," Logiciel"," Software"))</f>
        <v>WinCELL™ Reg 2025 Software</v>
      </c>
      <c r="F2" s="406"/>
      <c r="G2" s="405" t="s">
        <v>15</v>
      </c>
      <c r="H2" s="407">
        <f>(H11)+
IFERROR(#REF!,0)</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H11+IFERROR(#REF!,0)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WinCELL™,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97"/>
      <c r="C5" s="195" t="str">
        <f>$A$2&amp; IF(Francais," Modèle logiciel"," Software Model")</f>
        <v>WinCELL™ Software Model</v>
      </c>
      <c r="D5" s="196"/>
      <c r="F5" s="793"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WinCELL™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 XL" &amp; PROPER(SUBSTITUTE(A2,"Win","")) &amp; " " &amp; IF(Francais,"Logiciel pour analyse des données de " &amp;A2&amp; " (requiert MS Excel, non-inclus)","Software for " &amp;A2&amp; "'s data Analysis (requires MS Excel, not included)" )</f>
        <v>• XLCell™ Software for WinCELL™'s data Analysis (requires MS Excel, not included)</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46"/>
      <c r="G9" s="446"/>
      <c r="H9" s="446"/>
      <c r="I9" s="434"/>
      <c r="J9" s="796"/>
      <c r="K9" s="428"/>
      <c r="L9" s="428"/>
      <c r="M9" s="428"/>
      <c r="N9" s="428"/>
      <c r="O9" s="428"/>
      <c r="P9" s="428"/>
    </row>
    <row r="10" spans="1:16" ht="8" customHeight="1" x14ac:dyDescent="0.2">
      <c r="A10" s="798" t="str">
        <f>IF(Francais,"2) Choisir combien de nouvelle(s)    → license(s).","2) Select how many new   → license(s).")</f>
        <v>2) Select how many new   → license(s).</v>
      </c>
      <c r="B10" s="200"/>
      <c r="D10" s="145"/>
      <c r="E10" s="7"/>
      <c r="F10" s="7"/>
      <c r="G10" s="201"/>
      <c r="H10"/>
      <c r="I10" s="427"/>
      <c r="J10" s="796"/>
      <c r="L10" s="203"/>
      <c r="P10" s="425"/>
    </row>
    <row r="11" spans="1:16" ht="31" customHeight="1" x14ac:dyDescent="0.2">
      <c r="A11" s="798"/>
      <c r="B11" s="498"/>
      <c r="C11" s="195" t="str">
        <f>IF(Francais,"Nouvelle(s) License(s) Logiciel " &amp; $A$2,"New "&amp;$A$2&amp;" Software License(s)")</f>
        <v>New WinCELL™ Software License(s)</v>
      </c>
      <c r="D11" s="196"/>
      <c r="E11" s="196"/>
      <c r="F11" s="196"/>
      <c r="G11" s="197">
        <f>IFERROR(H11/(CELL_N_Software-1),0)</f>
        <v>0</v>
      </c>
      <c r="H11" s="277">
        <f>ROUND((INDEX(CELL_SoftwarePriceList,CELL_IndexSoftware))*
IF(CELL_N_Software-1=0,0,SUM(MMULT(
  _xlfn.MUNIT(
   CELL_N_Software-1),
    INDEX(TableLists[Column10],CELL_N_AlreadyHaveSoftware-1+2):
    INDEX(TableLists[Column10],(CELL_N_AlreadyHaveSoftware-1+1)+(CELL_N_Software-1))
))),0)</f>
        <v>0</v>
      </c>
      <c r="I11" s="198">
        <v>852349</v>
      </c>
      <c r="J11" s="203" t="str">
        <f>IF(Francais,"  Je possède", "  I own")</f>
        <v xml:space="preserve">  I own</v>
      </c>
    </row>
    <row r="12" spans="1:16" x14ac:dyDescent="0.2">
      <c r="A12" s="798"/>
      <c r="B12" s="202"/>
      <c r="C12"/>
      <c r="D12"/>
      <c r="E12"/>
      <c r="F12"/>
      <c r="G12"/>
      <c r="H12"/>
      <c r="I12" s="204"/>
      <c r="J12" s="45"/>
    </row>
    <row r="13" spans="1:16" ht="15.75" customHeight="1" x14ac:dyDescent="0.2">
      <c r="A13" s="721"/>
      <c r="B13" s="206"/>
      <c r="C13" s="207"/>
      <c r="D13" s="207"/>
      <c r="E13" s="207"/>
      <c r="F13" s="207"/>
      <c r="G13" s="207"/>
      <c r="H13" s="207"/>
      <c r="I13" s="209"/>
      <c r="J13" s="808" t="str">
        <f>IF(Checkbox_Updates=FALSE,IF(Francais,"License(s) Logiciel " &amp; $A$2,$A$2&amp;" Software License(s)"),"")</f>
        <v>WinCELL™ Software License(s)</v>
      </c>
    </row>
    <row r="14" spans="1:16" x14ac:dyDescent="0.2">
      <c r="A14" s="429"/>
      <c r="J14" s="808"/>
    </row>
    <row r="15" spans="1:16" ht="15.75" customHeight="1" x14ac:dyDescent="0.2">
      <c r="A15" s="439"/>
      <c r="B15" s="439"/>
      <c r="C15" s="439"/>
      <c r="D15" s="439"/>
      <c r="E15" s="441" t="str">
        <f>IF(Francais,"Pour des questions ou pour placer une commande, contactez:","For questions or to place an order contact: ")</f>
        <v xml:space="preserve">For questions or to place an order contact: </v>
      </c>
      <c r="F15" s="439" t="s">
        <v>164</v>
      </c>
      <c r="G15" s="439"/>
      <c r="H15" s="439"/>
      <c r="I15" s="439"/>
      <c r="J15" s="808"/>
    </row>
  </sheetData>
  <sheetProtection algorithmName="SHA-512" hashValue="lBguN+mhHoFgvqlNeDHEt/MePWYkGyjoD6JeCGlWhQAsCYC3lwmbtZEIYQaFsWkZNrcYs/3rDD8MPR+HCec+7A==" saltValue="sd+lxTZRBYQC4kX+uxlRsw==" spinCount="100000" sheet="1" objects="1" scenarios="1" selectLockedCells="1"/>
  <mergeCells count="5">
    <mergeCell ref="J13:J15"/>
    <mergeCell ref="J4:J10"/>
    <mergeCell ref="F5:I5"/>
    <mergeCell ref="A10:A12"/>
    <mergeCell ref="A5:A8"/>
  </mergeCells>
  <conditionalFormatting sqref="G11 H4 H2">
    <cfRule type="expression" dxfId="32" priority="57">
      <formula>OR(IndexZone=5)</formula>
    </cfRule>
    <cfRule type="expression" dxfId="31" priority="58">
      <formula>OR(IndexZone=3, IndexZone=8, IndexZone=10)</formula>
    </cfRule>
  </conditionalFormatting>
  <conditionalFormatting sqref="D6:D7">
    <cfRule type="expression" dxfId="30" priority="19">
      <formula>NOT(Checkbox_Descriptions)</formula>
    </cfRule>
  </conditionalFormatting>
  <conditionalFormatting sqref="D9">
    <cfRule type="expression" dxfId="29" priority="18">
      <formula>NOT(Checkbox_Descriptions)</formula>
    </cfRule>
  </conditionalFormatting>
  <conditionalFormatting sqref="A5">
    <cfRule type="expression" dxfId="28" priority="15">
      <formula>NOT(Checkbox_Instructions)</formula>
    </cfRule>
  </conditionalFormatting>
  <conditionalFormatting sqref="A10">
    <cfRule type="expression" dxfId="27" priority="14">
      <formula>NOT(Checkbox_Instructions)</formula>
    </cfRule>
  </conditionalFormatting>
  <conditionalFormatting sqref="F9">
    <cfRule type="expression" dxfId="26" priority="11">
      <formula>NOT(Checkbox_Instructions)</formula>
    </cfRule>
  </conditionalFormatting>
  <conditionalFormatting sqref="J4">
    <cfRule type="expression" dxfId="24" priority="1">
      <formula>NOT(Checkbox_Instructions)</formula>
    </cfRule>
  </conditionalFormatting>
  <dataValidations count="1">
    <dataValidation type="custom" allowBlank="1" showErrorMessage="1" sqref="F5" xr:uid="{00000000-0002-0000-0900-000000000000}">
      <formula1>"&lt;0&gt;0"</formula1>
    </dataValidation>
  </dataValidations>
  <hyperlinks>
    <hyperlink ref="F15" r:id="rId1" xr:uid="{00000000-0004-0000-09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5735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57359" r:id="rId7" name="Drop Down 15">
              <controlPr defaultSize="0" autoLine="0" autoPict="0">
                <anchor moveWithCells="1">
                  <from>
                    <xdr:col>1</xdr:col>
                    <xdr:colOff>0</xdr:colOff>
                    <xdr:row>10</xdr:row>
                    <xdr:rowOff>101600</xdr:rowOff>
                  </from>
                  <to>
                    <xdr:col>2</xdr:col>
                    <xdr:colOff>25400</xdr:colOff>
                    <xdr:row>10</xdr:row>
                    <xdr:rowOff>292100</xdr:rowOff>
                  </to>
                </anchor>
              </controlPr>
            </control>
          </mc:Choice>
        </mc:AlternateContent>
        <mc:AlternateContent xmlns:mc="http://schemas.openxmlformats.org/markup-compatibility/2006">
          <mc:Choice Requires="x14">
            <control shapeId="57366" r:id="rId8" name="Drop Down 22">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57367" r:id="rId9" name="Drop Down 23">
              <controlPr defaultSize="0" autoLine="0" autoPict="0">
                <anchor moveWithCells="1" sizeWithCells="1">
                  <from>
                    <xdr:col>9</xdr:col>
                    <xdr:colOff>114300</xdr:colOff>
                    <xdr:row>11</xdr:row>
                    <xdr:rowOff>25400</xdr:rowOff>
                  </from>
                  <to>
                    <xdr:col>9</xdr:col>
                    <xdr:colOff>863600</xdr:colOff>
                    <xdr:row>12</xdr:row>
                    <xdr:rowOff>0</xdr:rowOff>
                  </to>
                </anchor>
              </controlPr>
            </control>
          </mc:Choice>
        </mc:AlternateContent>
        <mc:AlternateContent xmlns:mc="http://schemas.openxmlformats.org/markup-compatibility/2006">
          <mc:Choice Requires="x14">
            <control shapeId="57360" r:id="rId10" name="DropDown_N_UpgradeUpdate">
              <controlPr defaultSize="0" autoLine="0" autoPict="0">
                <anchor moveWithCells="1" sizeWithCells="1">
                  <from>
                    <xdr:col>1</xdr:col>
                    <xdr:colOff>0</xdr:colOff>
                    <xdr:row>12</xdr:row>
                    <xdr:rowOff>0</xdr:rowOff>
                  </from>
                  <to>
                    <xdr:col>2</xdr:col>
                    <xdr:colOff>25400</xdr:colOff>
                    <xdr:row>12</xdr:row>
                    <xdr:rowOff>0</xdr:rowOff>
                  </to>
                </anchor>
              </controlPr>
            </control>
          </mc:Choice>
        </mc:AlternateContent>
        <mc:AlternateContent xmlns:mc="http://schemas.openxmlformats.org/markup-compatibility/2006">
          <mc:Choice Requires="x14">
            <control shapeId="57368" r:id="rId11" name="DropDown_IndexClientVersion">
              <controlPr defaultSize="0" autoLine="0" autoPict="0">
                <anchor moveWithCells="1" sizeWithCells="1">
                  <from>
                    <xdr:col>2</xdr:col>
                    <xdr:colOff>825500</xdr:colOff>
                    <xdr:row>12</xdr:row>
                    <xdr:rowOff>0</xdr:rowOff>
                  </from>
                  <to>
                    <xdr:col>2</xdr:col>
                    <xdr:colOff>2984500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7030A0"/>
    <pageSetUpPr fitToPage="1"/>
  </sheetPr>
  <dimension ref="A1:P27"/>
  <sheetViews>
    <sheetView showGridLines="0" zoomScaleNormal="100" workbookViewId="0">
      <selection activeCell="F5" sqref="F5:I5"/>
    </sheetView>
  </sheetViews>
  <sheetFormatPr baseColWidth="10" defaultColWidth="0" defaultRowHeight="16" zeroHeight="1" x14ac:dyDescent="0.2"/>
  <cols>
    <col min="1" max="1" width="15.1640625" customWidth="1"/>
    <col min="2" max="2" width="5.6640625" style="1" customWidth="1"/>
    <col min="3" max="3" width="39.1640625" style="1" customWidth="1"/>
    <col min="4" max="4" width="11.1640625" style="1" customWidth="1"/>
    <col min="5" max="5" width="52.1640625" style="1" customWidth="1"/>
    <col min="6" max="7" width="14.1640625" style="1" customWidth="1"/>
    <col min="8" max="8" width="14.1640625" style="1" bestFit="1" customWidth="1"/>
    <col min="9" max="9" width="14.1640625" customWidth="1"/>
    <col min="10" max="10" width="16" customWidth="1"/>
    <col min="11" max="16" width="10.6640625" customWidth="1"/>
    <col min="17" max="16384" width="10.6640625" hidden="1"/>
  </cols>
  <sheetData>
    <row r="1" spans="1:16" ht="21.5" customHeight="1" x14ac:dyDescent="0.2">
      <c r="B1" s="410" t="str">
        <f>$A$2 &amp; IF(Francais," Liste de Prix V. "," Price List V. ") &amp; YearOfList &amp;
IF(Francais, " en devise "," in ") &amp; IF(OR(IndexZone=3,IndexZone=8,IndexZone=10),"USD",IF(IndexZone=5,"Euros","CAD")) &amp; IF(Francais, ""," Currency")</f>
        <v>WinSCANOPY™ Price List V. 2025 in Euros Currency</v>
      </c>
      <c r="C1" s="411"/>
      <c r="G1" s="412"/>
      <c r="H1" s="15"/>
      <c r="I1" s="408" t="str">
        <f>IF(Francais,"Valide jusqu'au","Valid until")</f>
        <v>Valid until</v>
      </c>
    </row>
    <row r="2" spans="1:16" ht="28.25" customHeight="1" x14ac:dyDescent="0.2">
      <c r="A2" s="413" t="s">
        <v>183</v>
      </c>
      <c r="B2" s="403"/>
      <c r="C2" s="404"/>
      <c r="D2" s="404"/>
      <c r="E2" s="405" t="str">
        <f>IF(AND(SCANOPY_N_Software=1,SCANOPY_N_UpgradeUpdate=1,SCANOPY_N_System&gt;1),
IF(Francais,"Système","")&amp;IF(SCANOPY_IndexScanner=1," 24 MP DSLR"," 24 MP Mini Point&amp;Shoot")&amp;IF(Francais,""," System"),
IF(AND(SCANOPY_N_System&gt;1,Francais),"Système ","")&amp;LEFT(INDEX(SCANOPY_SoftwareFullNames,SCANOPY_IndexSoftware),FIND(" ",INDEX(SCANOPY_SoftwareFullNames,SCANOPY_IndexSoftware),FIND(" ",INDEX(SCANOPY_SoftwareFullNames,SCANOPY_IndexSoftware))+1)) &amp;
SCANOPY_YearMostRecent &amp;
IF(SCANOPY_N_System&gt;1,IF(SCANOPY_IndexScanner=1," 24 MP DSLR"," 24 MP Mini Point&amp;Shoot")&amp;IF(Francais,""," System"),IF(AND(SCANOPY_N_Software=1,SCANOPY_N_System=1,SCANOPY_N_UpgradeUpdate&gt;1),IF(Francais," Mise à jour"," Update"),IF(Francais," Logiciel"," Software"))) )</f>
        <v>WinSCANOPY™ Reg 2025 Software</v>
      </c>
      <c r="F2" s="406"/>
      <c r="G2" s="405" t="s">
        <v>15</v>
      </c>
      <c r="H2" s="407">
        <f>(H12)+IFERROR(#REF!,0)+IF(ISNUMBER(H15),H15,0)</f>
        <v>0</v>
      </c>
      <c r="I2" s="409" t="s">
        <v>789</v>
      </c>
    </row>
    <row r="3" spans="1:16" ht="18" customHeight="1" x14ac:dyDescent="0.2">
      <c r="B3" s="37"/>
      <c r="C3" s="138"/>
      <c r="D3" s="138"/>
      <c r="E3" s="65"/>
      <c r="F3" s="65"/>
      <c r="G3" s="15" t="str">
        <f>IF(Francais,"Prix Unit. de Liste","Item List Price")</f>
        <v>Item List Price</v>
      </c>
      <c r="H3" s="15" t="str">
        <f>IF(Francais,"Prix de liste","List Price")</f>
        <v>List Price</v>
      </c>
      <c r="I3" s="15" t="str">
        <f>IF(Francais,"Code Harmonisé","Harmonized Code")</f>
        <v>Harmonized Code</v>
      </c>
    </row>
    <row r="4" spans="1:16" s="1" customFormat="1" ht="30" customHeight="1" x14ac:dyDescent="0.2">
      <c r="B4" s="187"/>
      <c r="C4" s="188" t="str">
        <f>IF(Francais,"Logiciel","Software")</f>
        <v>Software</v>
      </c>
      <c r="D4" s="189"/>
      <c r="E4" s="189"/>
      <c r="F4" s="190"/>
      <c r="G4" s="191" t="str">
        <f>IF(Francais,"SOUS-TOTAL LOGICIEL:","SOFTWARE SUBTOTAL:")</f>
        <v>SOFTWARE SUBTOTAL:</v>
      </c>
      <c r="H4" s="192">
        <f>H12+IFERROR(#REF!,0)</f>
        <v>0</v>
      </c>
      <c r="I4" s="193"/>
      <c r="J4" s="796" t="str">
        <f>IF(Francais,
"3) Si vous avez déjà "&amp; A2 &amp; ", indiquez combien de licences (pour un rabais)." &amp; CONCATENATE(CHAR(10), REPT(" ", 9), "↓"),
"3) If you already own "&amp; A2 &amp; ", indicate how many licences (to get a discount)." &amp; CONCATENATE(CHAR(10), REPT(" ", 9), "↓"))</f>
        <v>3) If you already own WinSCANOPY™, indicate how many licences (to get a discount).
         ↓</v>
      </c>
    </row>
    <row r="5" spans="1:16" ht="18" customHeight="1" x14ac:dyDescent="0.2">
      <c r="A5" s="795" t="str">
        <f>IF(Francais,"1) Choisir le        → modèle du logiciel à acheter / mettre à jour.","1) Choose the → software model to buy or update.")</f>
        <v>1) Choose the → software model to buy or update.</v>
      </c>
      <c r="B5" s="499"/>
      <c r="C5" s="261" t="str">
        <f>$A$2&amp; IF(Francais," Modèle logiciel"," Software Model")</f>
        <v>WinSCANOPY™ Software Model</v>
      </c>
      <c r="D5" s="262"/>
      <c r="F5" s="793" t="str">
        <f>IF(Checkbox_Instructions,HYPERLINK("https://regentinstruments.com/assets/" &amp; LOWER(LEFT($A$2,LEN($A$2)-1)) &amp; "_features.html?utm_source=PriceQuoteXLS",IF(Francais,"Cliquez pour voir les caractéristiques par modèle de logiciel sur le site web de Regent Instruments","Click to view features per software model on Regent Instruments web site")),"")</f>
        <v>Click to view features per software model on Regent Instruments web site</v>
      </c>
      <c r="G5" s="793"/>
      <c r="H5" s="793"/>
      <c r="I5" s="799"/>
      <c r="J5" s="796"/>
    </row>
    <row r="6" spans="1:16" ht="18" customHeight="1" x14ac:dyDescent="0.2">
      <c r="A6" s="795"/>
      <c r="B6" s="194"/>
      <c r="C6" s="1" t="str">
        <f>"• " &amp; A2 &amp; " " &amp; IF(Francais,
"License Logiciel (32 et 64-bit, pour Windows 7 à 11). Manuesl d'instructions (PDF &amp; Imprimé). Pas d'activation " &amp; "&amp;" &amp;" connexion Internet requise. Licence perpétuelle (valide indéfiniment sans frais supplémentaires).",
"Software license (32 and 64-bit, for Windows 7 to 11). Instructions manuals (PDF &amp; Printed). No activation " &amp; "&amp;" &amp;" Internet connection required. Perpetual license (use it as long as you want without afterward fees)."
)</f>
        <v>• WinSCANOPY™ Software license (32 and 64-bit, for Windows 7 to 11). Instructions manuals (PDF &amp; Printed). No activation &amp; Internet connection required. Perpetual license (use it as long as you want without afterward fees).</v>
      </c>
      <c r="D6" s="287"/>
      <c r="E6" s="287"/>
      <c r="J6" s="796"/>
    </row>
    <row r="7" spans="1:16" ht="18" customHeight="1" x14ac:dyDescent="0.2">
      <c r="A7" s="795"/>
      <c r="B7" s="194"/>
      <c r="C7" s="1" t="str">
        <f>"• XL" &amp; PROPER(SUBSTITUTE(A2,"Win","")) &amp; IF(OR(SCANOPY_IndexSoftware=1,SCANOPY_IndexSoftware=4)," Mini","") &amp; " " &amp; IF(Francais,"Logiciel pour analyse des données de " &amp;A2 &amp; IF(OR(SCANOPY_IndexSoftware=1,SCANOPY_IndexSoftware=4)," Mini","") &amp;  " (requiert MS Excel, non-inclus)","Software for " &amp;A2 &amp; IF(OR(SCANOPY_IndexSoftware=1,SCANOPY_IndexSoftware=4)," Mini","") &amp; "'s data Analysis (requires MS Excel, not included)" )</f>
        <v>• XLScanopy™ Software for WinSCANOPY™'s data Analysis (requires MS Excel, not included)</v>
      </c>
      <c r="D7" s="287"/>
      <c r="E7" s="287"/>
      <c r="I7" s="199"/>
      <c r="J7" s="796"/>
    </row>
    <row r="8" spans="1:16" ht="18" customHeight="1" x14ac:dyDescent="0.2">
      <c r="A8" s="795"/>
      <c r="B8" s="200"/>
      <c r="C8" s="1" t="str">
        <f>IF(Francais,
"• Clé de protection USB (dispositif de contrôle du logiciel). Le logiciel peut être installé sur plusieurs ordinateurs du titulaire de la licence, "&amp;"mais seul celui où la clé est connectée fonctionnera (facile de déplacer la clé d'ordinateur).",
"• USB drive &amp; key (software controlling device). Software can be installed on more than one licensee's computers, but only the one which has the key connected to it can run at a time (easy to move the key from one computer to another)."
)</f>
        <v>• USB drive &amp; key (software controlling device). Software can be installed on more than one licensee's computers, but only the one which has the key connected to it can run at a time (easy to move the key from one computer to another).</v>
      </c>
      <c r="D8" s="7"/>
      <c r="E8" s="7"/>
      <c r="J8" s="796"/>
      <c r="K8" s="428"/>
      <c r="L8" s="428"/>
      <c r="M8" s="428"/>
      <c r="N8" s="428"/>
      <c r="O8" s="428"/>
      <c r="P8" s="428"/>
    </row>
    <row r="9" spans="1:16" ht="18" customHeight="1" x14ac:dyDescent="0.2">
      <c r="B9" s="200"/>
      <c r="D9" s="287"/>
      <c r="E9" s="287"/>
      <c r="F9" s="446"/>
      <c r="G9" s="446"/>
      <c r="H9" s="446"/>
      <c r="I9" s="436"/>
      <c r="J9" s="796"/>
      <c r="K9" s="428"/>
      <c r="L9" s="428"/>
      <c r="M9" s="428"/>
      <c r="N9" s="428"/>
      <c r="O9" s="428"/>
      <c r="P9" s="428"/>
    </row>
    <row r="10" spans="1:16" ht="7.5" customHeight="1" x14ac:dyDescent="0.2">
      <c r="A10" s="810" t="str">
        <f>IF(Francais,"2) Choisir combien de nouvelle(s) license(s). →","2) Select how many new license(s). →")</f>
        <v>2) Select how many new license(s). →</v>
      </c>
      <c r="B10" s="200"/>
      <c r="D10" s="266"/>
      <c r="E10" s="7"/>
      <c r="F10" s="7"/>
      <c r="G10" s="201"/>
      <c r="H10"/>
      <c r="I10" s="199"/>
      <c r="J10" s="796"/>
      <c r="L10" s="203"/>
      <c r="P10" s="425"/>
    </row>
    <row r="11" spans="1:16" ht="18" customHeight="1" x14ac:dyDescent="0.2">
      <c r="A11" s="810"/>
      <c r="B11" s="200"/>
      <c r="C11" s="203"/>
      <c r="D11" s="266"/>
      <c r="E11" s="7"/>
      <c r="F11" s="7"/>
      <c r="G11" s="201"/>
      <c r="H11"/>
      <c r="I11" s="199"/>
      <c r="J11" s="203" t="str">
        <f>IF(Francais,"  Je possède", "  I own")</f>
        <v xml:space="preserve">  I own</v>
      </c>
    </row>
    <row r="12" spans="1:16" ht="31" customHeight="1" x14ac:dyDescent="0.2">
      <c r="A12" s="810"/>
      <c r="B12" s="500"/>
      <c r="C12" s="261" t="str">
        <f>IF(Francais,"Nouvelle(s) License(s) Logiciel " &amp; $A$2,"New "&amp;$A$2&amp;" Software License(s)")</f>
        <v>New WinSCANOPY™ Software License(s)</v>
      </c>
      <c r="D12" s="262"/>
      <c r="E12" s="262"/>
      <c r="F12" s="262"/>
      <c r="G12" s="264">
        <f>IFERROR(H12/(SCANOPY_N_Software-1),0)</f>
        <v>0</v>
      </c>
      <c r="H12" s="286">
        <f>ROUND((INDEX(SCANOPY_SoftwarePriceList,SCANOPY_IndexSoftware))*
IF(SCANOPY_N_Software-1=0,0,SUM(MMULT(
  _xlfn.MUNIT(
   SCANOPY_N_Software-1),
    INDEX(TableLists[Column10],SCANOPY_N_AlreadyHaveSoftware-1+2):
    INDEX(TableLists[Column10],(SCANOPY_N_AlreadyHaveSoftware-1+1)+(SCANOPY_N_Software-1))
))),0)</f>
        <v>0</v>
      </c>
      <c r="I12" s="265">
        <v>852349</v>
      </c>
      <c r="J12" s="45"/>
    </row>
    <row r="13" spans="1:16" ht="15.75" customHeight="1" x14ac:dyDescent="0.2">
      <c r="B13" s="202"/>
      <c r="C13"/>
      <c r="D13"/>
      <c r="E13"/>
      <c r="F13"/>
      <c r="G13"/>
      <c r="H13"/>
      <c r="I13" s="204"/>
      <c r="J13" s="791" t="str">
        <f>IF(Francais,"License(s) Logiciel " &amp; $A$2,$A$2&amp;" Software License(s)")</f>
        <v>WinSCANOPY™ Software License(s)</v>
      </c>
    </row>
    <row r="14" spans="1:16" ht="30" customHeight="1" x14ac:dyDescent="0.2">
      <c r="B14" s="187"/>
      <c r="C14" s="188" t="str">
        <f>IF(Francais,"Matériel","Hardware")</f>
        <v>Hardware</v>
      </c>
      <c r="D14" s="190"/>
      <c r="E14" s="190"/>
      <c r="F14" s="190"/>
      <c r="G14" s="191" t="str">
        <f>IF(Francais,"SOUS-TOTAL MATÉRIEL:","HARDWARE SUBTOTAL:")</f>
        <v>HARDWARE SUBTOTAL:</v>
      </c>
      <c r="H14" s="192">
        <f>IF(ISNUMBER(H15),H15,0)</f>
        <v>0</v>
      </c>
      <c r="I14" s="215"/>
      <c r="J14" s="791"/>
    </row>
    <row r="15" spans="1:16" ht="30.75" customHeight="1" x14ac:dyDescent="0.2">
      <c r="A15" s="811" t="str">
        <f>IF(Checkbox_Updates=TRUE, "5) ", "4) ") &amp;
IF(Francais,"Choisir 1 ou + → pour un système avec caméra, lentille et optionnellement O-Mount et valise.","Select 1 or + → to get a system with a camera, lens and optionally O-Mount and case.")</f>
        <v>4) Select 1 or + → to get a system with a camera, lens and optionally O-Mount and case.</v>
      </c>
      <c r="B15" s="500"/>
      <c r="C15" s="450" t="str">
        <f>IF(Francais,
"Système WinSCANOPY™ " &amp; IF(SCANOPY_Camera=9999,"24 MP DSLR",""),
"WinSCANOPY™ " &amp; IF(SCANOPY_Camera=9999,"24 MP DSLR ","")&amp;"System")</f>
        <v>WinSCANOPY™ System</v>
      </c>
      <c r="D15" s="809" t="str">
        <f>IF(Francais,
"Incluant:",
"Including:")</f>
        <v>Including:</v>
      </c>
      <c r="E15" s="809"/>
      <c r="F15" s="263"/>
      <c r="G15" s="267">
        <f>IFERROR(H15/(SCANOPY_N_System-1),0)</f>
        <v>0</v>
      </c>
      <c r="H15" s="448">
        <f>IF(AND(SCANOPY_N_Software=1,SCANOPY_N_UpgradeUpdate=1,NOT(SuperUser),SCANOPY_N_System&gt;1),IF(Francais,"vendu avec logiciel uniquement","sold with software only"),
IF(AND(SCANOPY_IndexScanner=2,SCANOPY_CaseAndMount),IF(Francais,"O-Mount 24 MP Mini indisponible","O-Mount for 24 MP Mini unavailable"),
ROUND((IF(SCANOPY_Camera,
    IF(SCANOPY_IndexScanner=1,PrixSLR24SansCaseSansMount,PrixGP27SansCaseSansMount),
    IF(SCANOPY_IndexScanner=1,PrixSLR24SansCaseSansMountSansCam,PrixGP27SansCaseSansMountSansCam))
+IF(SCANOPY_CaseAndMount,
        IF(SCANOPY_IndexScanner=1,PrixSLR24CaseAndMountOnly,PrixGP27CaseAndMountOnly),
         0)
+IF(SCANOPY_BigTripod,PrixBig_Tripod))
*(SCANOPY_N_System-1),0)
))</f>
        <v>0</v>
      </c>
      <c r="I15" s="265">
        <v>903149</v>
      </c>
      <c r="J15" s="791"/>
    </row>
    <row r="16" spans="1:16" x14ac:dyDescent="0.2">
      <c r="A16" s="811"/>
      <c r="B16" s="205"/>
      <c r="D16" s="1" t="str">
        <f>IF(AND(SCANOPY_IndexScanner=2,NOT(SCANOPY_Camera)),"",
IF(Francais,
"• Lentille fisheye avec angle de vue 180°",
"• 180° Circular Fish-Eye lens "))</f>
        <v xml:space="preserve">• 180° Circular Fish-Eye lens </v>
      </c>
      <c r="G16" s="788" t="str">
        <f>IF(Checkbox_Instructions,HYPERLINK("https://regentinstruments.com/assets/winscanopy_system.html?utm_source=PriceQuoteXLS",IF(Francais,"Cliquez pour voir les spécifications de nos systèmes", "Click to view our systems specifications")),"")</f>
        <v>Click to view our systems specifications</v>
      </c>
      <c r="H16" s="788"/>
      <c r="I16" s="218"/>
      <c r="J16" s="122"/>
    </row>
    <row r="17" spans="1:9" x14ac:dyDescent="0.2">
      <c r="A17" s="811"/>
      <c r="B17" s="205"/>
      <c r="C17" s="7"/>
      <c r="D17" s="1" t="str">
        <f>IF(Francais,
IF(SCANOPY_Camera,"• Caméra + Calibration Lentille, ","• Calibration (de Caméra &amp; Lentille), ")&amp;"Manuels &amp; Support technique pour l'acquisition d'image avec WinSCANOPY",
IF(SCANOPY_Camera,"• Camera + Lens Calibration, ","• Calibration (of Camera &amp; Lens), ")&amp;"Manuals &amp; Technical support for image acquisition for WinSCANOPY")</f>
        <v>• Camera + Lens Calibration, Manuals &amp; Technical support for image acquisition for WinSCANOPY</v>
      </c>
      <c r="G17" s="788"/>
      <c r="H17" s="788"/>
      <c r="I17" s="204"/>
    </row>
    <row r="18" spans="1:9" x14ac:dyDescent="0.2">
      <c r="A18" s="811"/>
      <c r="B18" s="205"/>
      <c r="C18" s="10" t="str">
        <f>IF(Francais,"• Caméra","• Camera")</f>
        <v>• Camera</v>
      </c>
      <c r="D18" s="9" t="str">
        <f>IF(SCANOPY_Camera,
IF(Francais,
"• Documentation, logiciels et accessoires du manufacturier",
"• Manufacturer documentation, software and accessories"),"")</f>
        <v>• Manufacturer documentation, software and accessories</v>
      </c>
      <c r="E18" s="9"/>
      <c r="I18" s="204"/>
    </row>
    <row r="19" spans="1:9" x14ac:dyDescent="0.2">
      <c r="A19" s="811"/>
      <c r="B19" s="205"/>
      <c r="C19" s="476" t="str">
        <f>IF(Francais,"   (seulement vendu avec logiciel)","   (sold with software only)")</f>
        <v xml:space="preserve">   (sold with software only)</v>
      </c>
      <c r="D19" s="9" t="str">
        <f>IF(SCANOPY_Camera,
IF(Francais,
"• 2 Batteries + Chargeur externe USB",
"• 2 Batteries + External USB charger"),"")</f>
        <v>• 2 Batteries + External USB charger</v>
      </c>
      <c r="E19" s="9"/>
      <c r="I19" s="204"/>
    </row>
    <row r="20" spans="1:9" x14ac:dyDescent="0.2">
      <c r="A20" s="811"/>
      <c r="B20" s="205"/>
      <c r="C20" s="397"/>
      <c r="D20" s="9" t="str">
        <f>IF(SCANOPY_Camera,
IF(Francais,
"• Carte Mémoire 64 GB",
"• 64 Gbytes Memory card"),"")</f>
        <v>• 64 Gbytes Memory card</v>
      </c>
      <c r="E20" s="9"/>
      <c r="I20" s="204"/>
    </row>
    <row r="21" spans="1:9" x14ac:dyDescent="0.2">
      <c r="B21" s="205"/>
      <c r="C21" s="9"/>
      <c r="D21" s="9" t="str">
        <f>IF(SCANOPY_Camera,
IF(Francais,
IF(SCANOPY_IndexScanner=1,"• Manette (portée de ± 5m tolérante aux obstructions)","• Manette (tolérante aux obstructions)"),
IF(SCANOPY_IndexScanner=1,"• Remote Control (± 5m range, obstructions tolerant)","• Remote Control (obstructions tolerant)")),"")</f>
        <v>• Remote Control (± 5m range, obstructions tolerant)</v>
      </c>
      <c r="E21" s="9"/>
      <c r="I21" s="204"/>
    </row>
    <row r="22" spans="1:9" ht="25.5" customHeight="1" x14ac:dyDescent="0.2">
      <c r="B22" s="205"/>
      <c r="C22" s="477" t="str">
        <f>IF(AND(SCANOPY_IndexScanner=2,SCANOPY_CaseAndMount),
IF(Francais,"←  Veuillez décocher cette case. Cet item est indisponible pour un système 24MP Mini","← Please uncheck this check box. This item is not available for the 24MP Mini system."),
IF(Francais,"O-Mount Autonivelant","Self-Leveling O-Mount")
)</f>
        <v>Self-Leveling O-Mount</v>
      </c>
      <c r="D22" s="478" t="str">
        <f>IF(SCANOPY_CaseAndMount,IF(Francais,
        IF(SCANOPY_IndexScanner=1,"• O-Mount Autonivelant avec Bloqueur de soleil",IF(1=1,"• O-Mount pour le système 24 MP Mini n'est pas disponible","• Mini-O-Mount Autonivelant")),
        IF(SCANOPY_IndexScanner=1,"• Self-Leveling O-Mount with Sunblocker",IF(1=1,"• O-Mount for the 24 MP Mini system is not available","• Self-Leveling Mini-O-Mount"))),
  IF(SCANOPY_Camera,
IF(Francais,"• Mini Trépied et Base à mise à niveau manuelle","• Manual Leveling Base and Mini Tripod"),
""))</f>
        <v>• Manual Leveling Base and Mini Tripod</v>
      </c>
      <c r="E22" s="478"/>
      <c r="I22" s="204"/>
    </row>
    <row r="23" spans="1:9" x14ac:dyDescent="0.2">
      <c r="B23" s="205"/>
      <c r="C23" s="478"/>
      <c r="D23" s="478" t="str">
        <f>IF(OR(
AND(SCANOPY_IndexScanner=2,NOT(SCANOPY_Camera),NOT(SCANOPY_CaseAndMount)),
AND(SCANOPY_IndexScanner=1,NOT(SCANOPY_Camera),NOT(SCANOPY_CaseAndMount))),"",
IF(Francais,"• Valise de Transport, Étanche à l'eau, Résistante aux impacts","• Carrying Case, Waterproof, Impact Resistant"))</f>
        <v>• Carrying Case, Waterproof, Impact Resistant</v>
      </c>
      <c r="E23" s="478"/>
      <c r="I23" s="204"/>
    </row>
    <row r="24" spans="1:9" x14ac:dyDescent="0.2">
      <c r="B24" s="205"/>
      <c r="C24" s="478" t="str">
        <f xml:space="preserve"> IF(Francais,"Trépied avec jambes auto-adaptatives","Tripod with Self-Adaptating Legs")</f>
        <v>Tripod with Self-Adaptating Legs</v>
      </c>
      <c r="D24" s="478" t="str">
        <f>IF(SCANOPY_BigTripod,
    IF(Francais,"• Trépied avec jambes auto-adaptatives","• Tripod with Self-Adaptating Legs"),
IF(Francais,"• Trépied supplémentaire non inclus","• No extra tripod included"))</f>
        <v>• No extra tripod included</v>
      </c>
      <c r="E24" s="478"/>
      <c r="I24" s="204"/>
    </row>
    <row r="25" spans="1:9" x14ac:dyDescent="0.2">
      <c r="B25" s="224"/>
      <c r="C25" s="457"/>
      <c r="D25" s="457" t="str">
        <f>IF(SCANOPY_BigTripod,
    IF(Francais,"• Plage de hauteur: 30 - 160, Poids: 3.8 Kg","• Height Range: 30 - 160 cm, Weight: 3.8 Kg"),
IF(Francais,"",""))</f>
        <v/>
      </c>
      <c r="E25" s="457"/>
      <c r="F25" s="208"/>
      <c r="G25" s="208"/>
      <c r="H25" s="208"/>
      <c r="I25" s="209"/>
    </row>
    <row r="26" spans="1:9" x14ac:dyDescent="0.2"/>
    <row r="27" spans="1:9" x14ac:dyDescent="0.2">
      <c r="A27" s="439"/>
      <c r="B27" s="439"/>
      <c r="C27" s="439"/>
      <c r="D27" s="439"/>
      <c r="E27" s="441" t="str">
        <f>IF(Francais,"Pour des questions ou pour placer une commande, contactez:","For questions or to place an order contact: ")</f>
        <v xml:space="preserve">For questions or to place an order contact: </v>
      </c>
      <c r="F27" s="439" t="s">
        <v>164</v>
      </c>
      <c r="G27" s="439"/>
      <c r="H27" s="439"/>
      <c r="I27" s="439"/>
    </row>
  </sheetData>
  <sheetProtection algorithmName="SHA-512" hashValue="bAzvP/XF4spAI8OxO4F2qAtrP92QDwYMHdIblpVEiQtWH1Nm6q5Bh3hnMchA/HIbwXT4C//1hlIuaL4DIvwbxA==" saltValue="j9YfehLEvmkdJK/YkZg52Q==" spinCount="100000" sheet="1" objects="1" scenarios="1" selectLockedCells="1"/>
  <mergeCells count="8">
    <mergeCell ref="J13:J15"/>
    <mergeCell ref="J4:J10"/>
    <mergeCell ref="D15:E15"/>
    <mergeCell ref="G16:H17"/>
    <mergeCell ref="F5:I5"/>
    <mergeCell ref="A10:A12"/>
    <mergeCell ref="A5:A8"/>
    <mergeCell ref="A15:A20"/>
  </mergeCells>
  <conditionalFormatting sqref="H2 H4 G12 H14 G15">
    <cfRule type="expression" dxfId="22" priority="59">
      <formula>OR(IndexZone=5)</formula>
    </cfRule>
    <cfRule type="expression" dxfId="21" priority="60">
      <formula>OR(IndexZone=3, IndexZone=8, IndexZone=10)</formula>
    </cfRule>
  </conditionalFormatting>
  <conditionalFormatting sqref="A10">
    <cfRule type="expression" dxfId="20" priority="29">
      <formula>NOT(Checkbox_Instructions)</formula>
    </cfRule>
  </conditionalFormatting>
  <conditionalFormatting sqref="F9">
    <cfRule type="expression" dxfId="19" priority="28">
      <formula>NOT(Checkbox_Instructions)</formula>
    </cfRule>
  </conditionalFormatting>
  <conditionalFormatting sqref="D6:D7">
    <cfRule type="expression" dxfId="18" priority="20">
      <formula>NOT(Checkbox_Descriptions)</formula>
    </cfRule>
  </conditionalFormatting>
  <conditionalFormatting sqref="D9">
    <cfRule type="expression" dxfId="17" priority="19">
      <formula>NOT(Checkbox_Descriptions)</formula>
    </cfRule>
  </conditionalFormatting>
  <conditionalFormatting sqref="A5">
    <cfRule type="expression" dxfId="16" priority="16">
      <formula>NOT(Checkbox_Instructions)</formula>
    </cfRule>
  </conditionalFormatting>
  <conditionalFormatting sqref="A15">
    <cfRule type="expression" dxfId="15" priority="8">
      <formula>NOT(Checkbox_Instructions)</formula>
    </cfRule>
  </conditionalFormatting>
  <conditionalFormatting sqref="H15">
    <cfRule type="expression" dxfId="14" priority="7">
      <formula>ISTEXT($H$15)</formula>
    </cfRule>
  </conditionalFormatting>
  <conditionalFormatting sqref="J4">
    <cfRule type="expression" dxfId="12" priority="4">
      <formula>NOT(Checkbox_Instructions)</formula>
    </cfRule>
  </conditionalFormatting>
  <conditionalFormatting sqref="C22:D22">
    <cfRule type="expression" dxfId="11" priority="1">
      <formula>IF(AND(SCANOPY_IndexScanner=2, SCANOPY_CaseAndMount),1,0)</formula>
    </cfRule>
  </conditionalFormatting>
  <dataValidations count="1">
    <dataValidation type="custom" allowBlank="1" showInputMessage="1" showErrorMessage="1" sqref="G16:H17 F5" xr:uid="{00000000-0002-0000-0A00-000000000000}">
      <formula1>"&lt;0&gt;0"</formula1>
    </dataValidation>
  </dataValidations>
  <hyperlinks>
    <hyperlink ref="F27" r:id="rId1" xr:uid="{00000000-0004-0000-0A00-000000000000}"/>
  </hyperlinks>
  <pageMargins left="0.7" right="0.7" top="0.75" bottom="0.75" header="0.3" footer="0.3"/>
  <pageSetup scale="5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3185" r:id="rId5" name="CheckBoxDetails">
              <controlPr defaultSize="0" autoFill="0" autoLine="0" autoPict="0">
                <anchor moveWithCells="1" sizeWithCells="1">
                  <from>
                    <xdr:col>5</xdr:col>
                    <xdr:colOff>25400</xdr:colOff>
                    <xdr:row>0</xdr:row>
                    <xdr:rowOff>25400</xdr:rowOff>
                  </from>
                  <to>
                    <xdr:col>5</xdr:col>
                    <xdr:colOff>1092200</xdr:colOff>
                    <xdr:row>0</xdr:row>
                    <xdr:rowOff>228600</xdr:rowOff>
                  </to>
                </anchor>
              </controlPr>
            </control>
          </mc:Choice>
        </mc:AlternateContent>
        <mc:AlternateContent xmlns:mc="http://schemas.openxmlformats.org/markup-compatibility/2006">
          <mc:Choice Requires="x14">
            <control shapeId="93197" r:id="rId6" name="Check Box 13">
              <controlPr defaultSize="0" autoFill="0" autoLine="0" autoPict="0">
                <anchor moveWithCells="1" sizeWithCells="1">
                  <from>
                    <xdr:col>6</xdr:col>
                    <xdr:colOff>76200</xdr:colOff>
                    <xdr:row>0</xdr:row>
                    <xdr:rowOff>25400</xdr:rowOff>
                  </from>
                  <to>
                    <xdr:col>6</xdr:col>
                    <xdr:colOff>838200</xdr:colOff>
                    <xdr:row>0</xdr:row>
                    <xdr:rowOff>228600</xdr:rowOff>
                  </to>
                </anchor>
              </controlPr>
            </control>
          </mc:Choice>
        </mc:AlternateContent>
        <mc:AlternateContent xmlns:mc="http://schemas.openxmlformats.org/markup-compatibility/2006">
          <mc:Choice Requires="x14">
            <control shapeId="93198" r:id="rId7" name="Drop Down 14">
              <controlPr defaultSize="0" autoLine="0" autoPict="0">
                <anchor moveWithCells="1">
                  <from>
                    <xdr:col>3</xdr:col>
                    <xdr:colOff>25400</xdr:colOff>
                    <xdr:row>4</xdr:row>
                    <xdr:rowOff>0</xdr:rowOff>
                  </from>
                  <to>
                    <xdr:col>4</xdr:col>
                    <xdr:colOff>2222500</xdr:colOff>
                    <xdr:row>5</xdr:row>
                    <xdr:rowOff>25400</xdr:rowOff>
                  </to>
                </anchor>
              </controlPr>
            </control>
          </mc:Choice>
        </mc:AlternateContent>
        <mc:AlternateContent xmlns:mc="http://schemas.openxmlformats.org/markup-compatibility/2006">
          <mc:Choice Requires="x14">
            <control shapeId="93199" r:id="rId8" name="Drop Down 15">
              <controlPr defaultSize="0" autoLine="0" autoPict="0">
                <anchor moveWithCells="1">
                  <from>
                    <xdr:col>1</xdr:col>
                    <xdr:colOff>0</xdr:colOff>
                    <xdr:row>11</xdr:row>
                    <xdr:rowOff>101600</xdr:rowOff>
                  </from>
                  <to>
                    <xdr:col>2</xdr:col>
                    <xdr:colOff>25400</xdr:colOff>
                    <xdr:row>11</xdr:row>
                    <xdr:rowOff>292100</xdr:rowOff>
                  </to>
                </anchor>
              </controlPr>
            </control>
          </mc:Choice>
        </mc:AlternateContent>
        <mc:AlternateContent xmlns:mc="http://schemas.openxmlformats.org/markup-compatibility/2006">
          <mc:Choice Requires="x14">
            <control shapeId="93202" r:id="rId9" name="Drop Down 18">
              <controlPr defaultSize="0" autoLine="0" autoPict="0">
                <anchor moveWithCells="1" sizeWithCells="1">
                  <from>
                    <xdr:col>1</xdr:col>
                    <xdr:colOff>0</xdr:colOff>
                    <xdr:row>14</xdr:row>
                    <xdr:rowOff>101600</xdr:rowOff>
                  </from>
                  <to>
                    <xdr:col>2</xdr:col>
                    <xdr:colOff>25400</xdr:colOff>
                    <xdr:row>14</xdr:row>
                    <xdr:rowOff>292100</xdr:rowOff>
                  </to>
                </anchor>
              </controlPr>
            </control>
          </mc:Choice>
        </mc:AlternateContent>
        <mc:AlternateContent xmlns:mc="http://schemas.openxmlformats.org/markup-compatibility/2006">
          <mc:Choice Requires="x14">
            <control shapeId="93203" r:id="rId10" name="DropDown_IndexClientVersion">
              <controlPr defaultSize="0" autoLine="0" autoPict="0">
                <anchor moveWithCells="1" sizeWithCells="1">
                  <from>
                    <xdr:col>2</xdr:col>
                    <xdr:colOff>825500</xdr:colOff>
                    <xdr:row>13</xdr:row>
                    <xdr:rowOff>0</xdr:rowOff>
                  </from>
                  <to>
                    <xdr:col>2</xdr:col>
                    <xdr:colOff>2984500</xdr:colOff>
                    <xdr:row>13</xdr:row>
                    <xdr:rowOff>0</xdr:rowOff>
                  </to>
                </anchor>
              </controlPr>
            </control>
          </mc:Choice>
        </mc:AlternateContent>
        <mc:AlternateContent xmlns:mc="http://schemas.openxmlformats.org/markup-compatibility/2006">
          <mc:Choice Requires="x14">
            <control shapeId="93201" r:id="rId11" name="Check Box 17">
              <controlPr defaultSize="0" autoFill="0" autoLine="0" autoPict="0">
                <anchor moveWithCells="1">
                  <from>
                    <xdr:col>4</xdr:col>
                    <xdr:colOff>876300</xdr:colOff>
                    <xdr:row>3</xdr:row>
                    <xdr:rowOff>0</xdr:rowOff>
                  </from>
                  <to>
                    <xdr:col>4</xdr:col>
                    <xdr:colOff>3759200</xdr:colOff>
                    <xdr:row>3</xdr:row>
                    <xdr:rowOff>266700</xdr:rowOff>
                  </to>
                </anchor>
              </controlPr>
            </control>
          </mc:Choice>
        </mc:AlternateContent>
        <mc:AlternateContent xmlns:mc="http://schemas.openxmlformats.org/markup-compatibility/2006">
          <mc:Choice Requires="x14">
            <control shapeId="93206" r:id="rId12" name="Drop Down 22">
              <controlPr defaultSize="0" autoLine="0" autoPict="0">
                <anchor moveWithCells="1" sizeWithCells="1">
                  <from>
                    <xdr:col>9</xdr:col>
                    <xdr:colOff>114300</xdr:colOff>
                    <xdr:row>10</xdr:row>
                    <xdr:rowOff>292100</xdr:rowOff>
                  </from>
                  <to>
                    <xdr:col>9</xdr:col>
                    <xdr:colOff>863600</xdr:colOff>
                    <xdr:row>11</xdr:row>
                    <xdr:rowOff>190500</xdr:rowOff>
                  </to>
                </anchor>
              </controlPr>
            </control>
          </mc:Choice>
        </mc:AlternateContent>
        <mc:AlternateContent xmlns:mc="http://schemas.openxmlformats.org/markup-compatibility/2006">
          <mc:Choice Requires="x14">
            <control shapeId="93200" r:id="rId13" name="DropDown_N_UpgradeUpdate">
              <controlPr defaultSize="0" autoLine="0" autoPict="0">
                <anchor moveWithCells="1" sizeWithCells="1">
                  <from>
                    <xdr:col>1</xdr:col>
                    <xdr:colOff>0</xdr:colOff>
                    <xdr:row>13</xdr:row>
                    <xdr:rowOff>0</xdr:rowOff>
                  </from>
                  <to>
                    <xdr:col>2</xdr:col>
                    <xdr:colOff>25400</xdr:colOff>
                    <xdr:row>13</xdr:row>
                    <xdr:rowOff>0</xdr:rowOff>
                  </to>
                </anchor>
              </controlPr>
            </control>
          </mc:Choice>
        </mc:AlternateContent>
        <mc:AlternateContent xmlns:mc="http://schemas.openxmlformats.org/markup-compatibility/2006">
          <mc:Choice Requires="x14">
            <control shapeId="93209" r:id="rId14" name="Camera_Checkbox">
              <controlPr defaultSize="0" autoFill="0" autoLine="0" autoPict="0">
                <anchor moveWithCells="1" sizeWithCells="1">
                  <from>
                    <xdr:col>1</xdr:col>
                    <xdr:colOff>228600</xdr:colOff>
                    <xdr:row>16</xdr:row>
                    <xdr:rowOff>177800</xdr:rowOff>
                  </from>
                  <to>
                    <xdr:col>2</xdr:col>
                    <xdr:colOff>711200</xdr:colOff>
                    <xdr:row>18</xdr:row>
                    <xdr:rowOff>38100</xdr:rowOff>
                  </to>
                </anchor>
              </controlPr>
            </control>
          </mc:Choice>
        </mc:AlternateContent>
        <mc:AlternateContent xmlns:mc="http://schemas.openxmlformats.org/markup-compatibility/2006">
          <mc:Choice Requires="x14">
            <control shapeId="93210" r:id="rId15" name="DropDown_IndexScanner">
              <controlPr defaultSize="0" autoLine="0" autoPict="0">
                <anchor moveWithCells="1" sizeWithCells="1">
                  <from>
                    <xdr:col>2</xdr:col>
                    <xdr:colOff>736600</xdr:colOff>
                    <xdr:row>17</xdr:row>
                    <xdr:rowOff>0</xdr:rowOff>
                  </from>
                  <to>
                    <xdr:col>2</xdr:col>
                    <xdr:colOff>2006600</xdr:colOff>
                    <xdr:row>18</xdr:row>
                    <xdr:rowOff>25400</xdr:rowOff>
                  </to>
                </anchor>
              </controlPr>
            </control>
          </mc:Choice>
        </mc:AlternateContent>
        <mc:AlternateContent xmlns:mc="http://schemas.openxmlformats.org/markup-compatibility/2006">
          <mc:Choice Requires="x14">
            <control shapeId="93207" r:id="rId16" name="CaseAndMount_checkbox">
              <controlPr defaultSize="0" autoFill="0" autoLine="0" autoPict="0">
                <anchor moveWithCells="1" sizeWithCells="1">
                  <from>
                    <xdr:col>1</xdr:col>
                    <xdr:colOff>228600</xdr:colOff>
                    <xdr:row>20</xdr:row>
                    <xdr:rowOff>177800</xdr:rowOff>
                  </from>
                  <to>
                    <xdr:col>2</xdr:col>
                    <xdr:colOff>2667000</xdr:colOff>
                    <xdr:row>22</xdr:row>
                    <xdr:rowOff>38100</xdr:rowOff>
                  </to>
                </anchor>
              </controlPr>
            </control>
          </mc:Choice>
        </mc:AlternateContent>
        <mc:AlternateContent xmlns:mc="http://schemas.openxmlformats.org/markup-compatibility/2006">
          <mc:Choice Requires="x14">
            <control shapeId="93211" r:id="rId17" name="BigTripod_Checkbox">
              <controlPr defaultSize="0" autoFill="0" autoLine="0" autoPict="0">
                <anchor moveWithCells="1" sizeWithCells="1">
                  <from>
                    <xdr:col>1</xdr:col>
                    <xdr:colOff>228600</xdr:colOff>
                    <xdr:row>22</xdr:row>
                    <xdr:rowOff>152400</xdr:rowOff>
                  </from>
                  <to>
                    <xdr:col>2</xdr:col>
                    <xdr:colOff>2667000</xdr:colOff>
                    <xdr:row>24</xdr:row>
                    <xdr:rowOff>25400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2"/>
    <pageSetUpPr fitToPage="1"/>
  </sheetPr>
  <dimension ref="A1:B294"/>
  <sheetViews>
    <sheetView topLeftCell="AH132" zoomScaleNormal="100" workbookViewId="0">
      <selection activeCell="AI133" sqref="AI133"/>
    </sheetView>
  </sheetViews>
  <sheetFormatPr baseColWidth="10" defaultColWidth="11" defaultRowHeight="16" x14ac:dyDescent="0.2"/>
  <cols>
    <col min="1" max="1" width="10.1640625" customWidth="1"/>
    <col min="2" max="2" width="57.1640625" bestFit="1" customWidth="1"/>
    <col min="3" max="4" width="10.6640625" customWidth="1"/>
    <col min="5" max="5" width="19.6640625" bestFit="1" customWidth="1"/>
    <col min="6" max="6" width="17.1640625" bestFit="1" customWidth="1"/>
    <col min="7" max="10" width="10.6640625" customWidth="1"/>
    <col min="11" max="11" width="8.1640625" customWidth="1"/>
    <col min="12" max="12" width="9.6640625" customWidth="1"/>
  </cols>
  <sheetData>
    <row r="1" spans="1:2" s="1" customFormat="1" ht="17" customHeight="1" x14ac:dyDescent="0.2">
      <c r="A1">
        <v>0</v>
      </c>
      <c r="B1"/>
    </row>
    <row r="2" spans="1:2" s="1" customFormat="1" x14ac:dyDescent="0.2">
      <c r="A2">
        <v>74</v>
      </c>
      <c r="B2"/>
    </row>
    <row r="3" spans="1:2" s="1" customFormat="1" ht="24" customHeight="1" x14ac:dyDescent="0.2">
      <c r="A3">
        <v>0</v>
      </c>
      <c r="B3"/>
    </row>
    <row r="4" spans="1:2" s="1" customFormat="1" x14ac:dyDescent="0.2">
      <c r="A4">
        <v>37</v>
      </c>
      <c r="B4"/>
    </row>
    <row r="5" spans="1:2" s="1" customFormat="1" x14ac:dyDescent="0.2">
      <c r="A5">
        <v>148</v>
      </c>
      <c r="B5"/>
    </row>
    <row r="6" spans="1:2" s="1" customFormat="1" x14ac:dyDescent="0.2">
      <c r="A6">
        <v>111</v>
      </c>
      <c r="B6"/>
    </row>
    <row r="7" spans="1:2" s="1" customFormat="1" x14ac:dyDescent="0.2">
      <c r="A7">
        <v>111</v>
      </c>
      <c r="B7"/>
    </row>
    <row r="8" spans="1:2" s="1" customFormat="1" x14ac:dyDescent="0.2">
      <c r="A8">
        <v>56</v>
      </c>
      <c r="B8"/>
    </row>
    <row r="9" spans="1:2" s="1" customFormat="1" ht="24" customHeight="1" x14ac:dyDescent="0.2">
      <c r="A9">
        <v>0</v>
      </c>
      <c r="B9"/>
    </row>
    <row r="10" spans="1:2" ht="15.5" customHeight="1" x14ac:dyDescent="0.2">
      <c r="A10">
        <v>276</v>
      </c>
    </row>
    <row r="11" spans="1:2" x14ac:dyDescent="0.2">
      <c r="A11">
        <v>545</v>
      </c>
    </row>
    <row r="12" spans="1:2" x14ac:dyDescent="0.2">
      <c r="A12">
        <v>26</v>
      </c>
    </row>
    <row r="13" spans="1:2" x14ac:dyDescent="0.2">
      <c r="A13">
        <v>26</v>
      </c>
    </row>
    <row r="14" spans="1:2" x14ac:dyDescent="0.2">
      <c r="A14">
        <v>48</v>
      </c>
    </row>
    <row r="15" spans="1:2" s="1" customFormat="1" ht="24" customHeight="1" x14ac:dyDescent="0.2">
      <c r="A15">
        <v>0</v>
      </c>
      <c r="B15"/>
    </row>
    <row r="16" spans="1:2" s="3" customFormat="1" ht="21" customHeight="1" x14ac:dyDescent="0.2">
      <c r="A16">
        <v>93</v>
      </c>
      <c r="B16"/>
    </row>
    <row r="17" spans="1:2" s="3" customFormat="1" ht="21" customHeight="1" x14ac:dyDescent="0.2">
      <c r="A17">
        <v>148</v>
      </c>
      <c r="B17"/>
    </row>
    <row r="18" spans="1:2" s="3" customFormat="1" ht="21" customHeight="1" x14ac:dyDescent="0.2">
      <c r="A18">
        <v>148</v>
      </c>
      <c r="B18"/>
    </row>
    <row r="19" spans="1:2" s="1" customFormat="1" ht="24" customHeight="1" x14ac:dyDescent="0.2">
      <c r="A19">
        <v>0</v>
      </c>
      <c r="B19"/>
    </row>
    <row r="20" spans="1:2" s="1" customFormat="1" ht="15.5" customHeight="1" x14ac:dyDescent="0.2">
      <c r="A20">
        <v>133</v>
      </c>
      <c r="B20"/>
    </row>
    <row r="21" spans="1:2" s="1" customFormat="1" x14ac:dyDescent="0.2">
      <c r="A21">
        <v>195</v>
      </c>
      <c r="B21"/>
    </row>
    <row r="22" spans="1:2" s="3" customFormat="1" x14ac:dyDescent="0.2">
      <c r="A22">
        <v>61</v>
      </c>
      <c r="B22"/>
    </row>
    <row r="23" spans="1:2" s="3" customFormat="1" x14ac:dyDescent="0.2">
      <c r="A23">
        <v>67</v>
      </c>
      <c r="B23"/>
    </row>
    <row r="24" spans="1:2" s="3" customFormat="1" x14ac:dyDescent="0.2">
      <c r="A24">
        <v>73</v>
      </c>
      <c r="B24"/>
    </row>
    <row r="25" spans="1:2" s="3" customFormat="1" ht="15.75" customHeight="1" x14ac:dyDescent="0.2">
      <c r="A25">
        <v>193</v>
      </c>
      <c r="B25"/>
    </row>
    <row r="26" spans="1:2" s="3" customFormat="1" x14ac:dyDescent="0.2">
      <c r="A26">
        <v>273</v>
      </c>
      <c r="B26"/>
    </row>
    <row r="27" spans="1:2" s="3" customFormat="1" x14ac:dyDescent="0.2">
      <c r="A27">
        <v>401</v>
      </c>
      <c r="B27"/>
    </row>
    <row r="28" spans="1:2" s="3" customFormat="1" x14ac:dyDescent="0.2">
      <c r="A28">
        <v>78</v>
      </c>
      <c r="B28"/>
    </row>
    <row r="29" spans="1:2" s="3" customFormat="1" x14ac:dyDescent="0.2">
      <c r="A29">
        <v>84</v>
      </c>
      <c r="B29"/>
    </row>
    <row r="30" spans="1:2" s="3" customFormat="1" x14ac:dyDescent="0.2">
      <c r="A30">
        <v>106</v>
      </c>
      <c r="B30"/>
    </row>
    <row r="31" spans="1:2" s="3" customFormat="1" ht="15.75" customHeight="1" x14ac:dyDescent="0.2">
      <c r="A31">
        <v>231</v>
      </c>
      <c r="B31"/>
    </row>
    <row r="32" spans="1:2" s="3" customFormat="1" x14ac:dyDescent="0.2">
      <c r="A32">
        <v>428</v>
      </c>
      <c r="B32"/>
    </row>
    <row r="33" spans="1:2" s="1" customFormat="1" x14ac:dyDescent="0.2">
      <c r="A33">
        <v>163</v>
      </c>
      <c r="B33"/>
    </row>
    <row r="34" spans="1:2" s="1" customFormat="1" x14ac:dyDescent="0.2">
      <c r="A34">
        <v>218</v>
      </c>
      <c r="B34"/>
    </row>
    <row r="35" spans="1:2" s="1" customFormat="1" x14ac:dyDescent="0.2">
      <c r="A35">
        <v>89</v>
      </c>
      <c r="B35"/>
    </row>
    <row r="36" spans="1:2" s="1" customFormat="1" x14ac:dyDescent="0.2">
      <c r="A36">
        <v>37</v>
      </c>
      <c r="B36"/>
    </row>
    <row r="37" spans="1:2" s="1" customFormat="1" x14ac:dyDescent="0.2">
      <c r="A37">
        <v>736</v>
      </c>
      <c r="B37"/>
    </row>
    <row r="38" spans="1:2" s="3" customFormat="1" x14ac:dyDescent="0.2">
      <c r="A38">
        <v>38</v>
      </c>
      <c r="B38"/>
    </row>
    <row r="39" spans="1:2" s="3" customFormat="1" x14ac:dyDescent="0.2">
      <c r="A39">
        <v>2458</v>
      </c>
      <c r="B39"/>
    </row>
    <row r="40" spans="1:2" s="3" customFormat="1" x14ac:dyDescent="0.2">
      <c r="A40">
        <v>1456</v>
      </c>
      <c r="B40"/>
    </row>
    <row r="41" spans="1:2" s="3" customFormat="1" x14ac:dyDescent="0.2">
      <c r="A41">
        <v>370</v>
      </c>
      <c r="B41"/>
    </row>
    <row r="42" spans="1:2" s="3" customFormat="1" x14ac:dyDescent="0.2">
      <c r="A42">
        <v>148</v>
      </c>
      <c r="B42"/>
    </row>
    <row r="43" spans="1:2" s="3" customFormat="1" x14ac:dyDescent="0.2">
      <c r="A43">
        <v>1746</v>
      </c>
      <c r="B43"/>
    </row>
    <row r="44" spans="1:2" s="3" customFormat="1" x14ac:dyDescent="0.2">
      <c r="A44">
        <v>1117</v>
      </c>
      <c r="B44"/>
    </row>
    <row r="45" spans="1:2" s="3" customFormat="1" x14ac:dyDescent="0.2">
      <c r="A45">
        <v>148</v>
      </c>
      <c r="B45"/>
    </row>
    <row r="46" spans="1:2" s="3" customFormat="1" x14ac:dyDescent="0.2">
      <c r="A46">
        <v>126</v>
      </c>
      <c r="B46"/>
    </row>
    <row r="47" spans="1:2" ht="24" customHeight="1" x14ac:dyDescent="0.2">
      <c r="A47">
        <v>0</v>
      </c>
    </row>
    <row r="48" spans="1:2" s="11" customFormat="1" x14ac:dyDescent="0.2">
      <c r="A48">
        <v>1339</v>
      </c>
      <c r="B48"/>
    </row>
    <row r="49" spans="1:2" s="11" customFormat="1" ht="15.5" customHeight="1" x14ac:dyDescent="0.2">
      <c r="A49">
        <v>4292</v>
      </c>
      <c r="B49"/>
    </row>
    <row r="50" spans="1:2" s="11" customFormat="1" x14ac:dyDescent="0.2">
      <c r="A50">
        <v>7252</v>
      </c>
      <c r="B50"/>
    </row>
    <row r="51" spans="1:2" s="11" customFormat="1" x14ac:dyDescent="0.2">
      <c r="A51">
        <v>1296</v>
      </c>
      <c r="B51"/>
    </row>
    <row r="52" spans="1:2" s="11" customFormat="1" x14ac:dyDescent="0.2">
      <c r="A52">
        <v>2350</v>
      </c>
      <c r="B52"/>
    </row>
    <row r="53" spans="1:2" s="11" customFormat="1" x14ac:dyDescent="0.2">
      <c r="A53">
        <v>3698</v>
      </c>
      <c r="B53"/>
    </row>
    <row r="54" spans="1:2" s="11" customFormat="1" x14ac:dyDescent="0.2">
      <c r="A54">
        <v>1332</v>
      </c>
      <c r="B54"/>
    </row>
    <row r="55" spans="1:2" s="11" customFormat="1" x14ac:dyDescent="0.2">
      <c r="A55">
        <v>3223</v>
      </c>
      <c r="B55"/>
    </row>
    <row r="56" spans="1:2" s="11" customFormat="1" x14ac:dyDescent="0.2">
      <c r="A56">
        <v>5179</v>
      </c>
      <c r="B56"/>
    </row>
    <row r="57" spans="1:2" s="11" customFormat="1" x14ac:dyDescent="0.2">
      <c r="A57">
        <v>6451</v>
      </c>
      <c r="B57"/>
    </row>
    <row r="58" spans="1:2" s="11" customFormat="1" x14ac:dyDescent="0.2">
      <c r="A58">
        <v>1184</v>
      </c>
      <c r="B58"/>
    </row>
    <row r="59" spans="1:2" s="11" customFormat="1" x14ac:dyDescent="0.2">
      <c r="A59">
        <v>1665</v>
      </c>
      <c r="B59"/>
    </row>
    <row r="60" spans="1:2" s="11" customFormat="1" x14ac:dyDescent="0.2">
      <c r="A60">
        <v>2540</v>
      </c>
      <c r="B60"/>
    </row>
    <row r="61" spans="1:2" s="11" customFormat="1" x14ac:dyDescent="0.2">
      <c r="A61">
        <v>1273</v>
      </c>
      <c r="B61"/>
    </row>
    <row r="62" spans="1:2" s="11" customFormat="1" x14ac:dyDescent="0.2">
      <c r="A62">
        <v>2079</v>
      </c>
      <c r="B62"/>
    </row>
    <row r="63" spans="1:2" s="11" customFormat="1" x14ac:dyDescent="0.2">
      <c r="A63">
        <v>3685</v>
      </c>
      <c r="B63"/>
    </row>
    <row r="64" spans="1:2" s="11" customFormat="1" x14ac:dyDescent="0.2">
      <c r="A64">
        <v>1288</v>
      </c>
      <c r="B64"/>
    </row>
    <row r="65" spans="1:2" s="11" customFormat="1" x14ac:dyDescent="0.2">
      <c r="A65">
        <v>2020</v>
      </c>
      <c r="B65"/>
    </row>
    <row r="66" spans="1:2" s="11" customFormat="1" x14ac:dyDescent="0.2">
      <c r="A66">
        <v>3329</v>
      </c>
      <c r="B66"/>
    </row>
    <row r="67" spans="1:2" s="11" customFormat="1" x14ac:dyDescent="0.2">
      <c r="A67">
        <v>1294</v>
      </c>
      <c r="B67"/>
    </row>
    <row r="68" spans="1:2" s="11" customFormat="1" x14ac:dyDescent="0.2">
      <c r="A68">
        <v>1739</v>
      </c>
      <c r="B68"/>
    </row>
    <row r="69" spans="1:2" s="11" customFormat="1" x14ac:dyDescent="0.2">
      <c r="A69">
        <v>2626</v>
      </c>
      <c r="B69"/>
    </row>
    <row r="70" spans="1:2" s="11" customFormat="1" x14ac:dyDescent="0.2">
      <c r="A70">
        <v>1369</v>
      </c>
      <c r="B70"/>
    </row>
    <row r="71" spans="1:2" s="11" customFormat="1" x14ac:dyDescent="0.2">
      <c r="A71">
        <v>2219</v>
      </c>
      <c r="B71"/>
    </row>
    <row r="72" spans="1:2" s="11" customFormat="1" x14ac:dyDescent="0.2">
      <c r="A72">
        <v>3640</v>
      </c>
      <c r="B72"/>
    </row>
    <row r="73" spans="1:2" s="11" customFormat="1" x14ac:dyDescent="0.2">
      <c r="A73"/>
      <c r="B73"/>
    </row>
    <row r="75" spans="1:2" ht="40.25" customHeight="1" x14ac:dyDescent="0.2"/>
    <row r="84" spans="1:1" x14ac:dyDescent="0.2">
      <c r="A84" t="s">
        <v>138</v>
      </c>
    </row>
    <row r="85" spans="1:1" x14ac:dyDescent="0.2">
      <c r="A85">
        <v>1277</v>
      </c>
    </row>
    <row r="88" spans="1:1" x14ac:dyDescent="0.2">
      <c r="A88">
        <v>1240</v>
      </c>
    </row>
    <row r="100" spans="1:1" x14ac:dyDescent="0.2">
      <c r="A100">
        <v>4040</v>
      </c>
    </row>
    <row r="101" spans="1:1" x14ac:dyDescent="0.2">
      <c r="A101">
        <v>4811</v>
      </c>
    </row>
    <row r="103" spans="1:1" x14ac:dyDescent="0.2">
      <c r="A103">
        <v>4003</v>
      </c>
    </row>
    <row r="104" spans="1:1" x14ac:dyDescent="0.2">
      <c r="A104">
        <v>4659</v>
      </c>
    </row>
    <row r="116" spans="1:1" x14ac:dyDescent="0.2">
      <c r="A116">
        <v>771</v>
      </c>
    </row>
    <row r="119" spans="1:1" x14ac:dyDescent="0.2">
      <c r="A119">
        <v>656</v>
      </c>
    </row>
    <row r="133" spans="1:1" x14ac:dyDescent="0.2">
      <c r="A133">
        <v>195</v>
      </c>
    </row>
    <row r="136" spans="1:1" x14ac:dyDescent="0.2">
      <c r="A136">
        <v>172</v>
      </c>
    </row>
    <row r="154" spans="1:2" ht="15.5" customHeight="1" x14ac:dyDescent="0.2"/>
    <row r="157" spans="1:2" ht="15.5" customHeight="1" x14ac:dyDescent="0.2"/>
    <row r="158" spans="1:2" x14ac:dyDescent="0.2">
      <c r="A158">
        <v>4204</v>
      </c>
      <c r="B158" t="s">
        <v>733</v>
      </c>
    </row>
    <row r="161" spans="1:1" x14ac:dyDescent="0.2">
      <c r="A161">
        <v>3573</v>
      </c>
    </row>
    <row r="183" spans="1:1" x14ac:dyDescent="0.2">
      <c r="A183">
        <v>2458</v>
      </c>
    </row>
    <row r="186" spans="1:1" x14ac:dyDescent="0.2">
      <c r="A186">
        <v>2090</v>
      </c>
    </row>
    <row r="188" spans="1:1" x14ac:dyDescent="0.2">
      <c r="A188">
        <v>1746</v>
      </c>
    </row>
    <row r="189" spans="1:1" x14ac:dyDescent="0.2">
      <c r="A189">
        <v>1483</v>
      </c>
    </row>
    <row r="198" spans="1:1" x14ac:dyDescent="0.2">
      <c r="A198">
        <v>370</v>
      </c>
    </row>
    <row r="201" spans="1:1" x14ac:dyDescent="0.2">
      <c r="A201">
        <v>315</v>
      </c>
    </row>
    <row r="202" spans="1:1" ht="15.5" customHeight="1" x14ac:dyDescent="0.2"/>
    <row r="205" spans="1:1" ht="15.5" customHeight="1" x14ac:dyDescent="0.2"/>
    <row r="206" spans="1:1" ht="15.5" customHeight="1" x14ac:dyDescent="0.2"/>
    <row r="207" spans="1:1" ht="15.5" customHeight="1" x14ac:dyDescent="0.2"/>
    <row r="208" spans="1:1" ht="15.5" customHeight="1" x14ac:dyDescent="0.2"/>
    <row r="209" spans="1:1" ht="15.5" customHeight="1" x14ac:dyDescent="0.2"/>
    <row r="210" spans="1:1" ht="15.5" customHeight="1" x14ac:dyDescent="0.2"/>
    <row r="211" spans="1:1" ht="15.5" customHeight="1" x14ac:dyDescent="0.2"/>
    <row r="212" spans="1:1" ht="15.5" customHeight="1" x14ac:dyDescent="0.2">
      <c r="A212">
        <v>222</v>
      </c>
    </row>
    <row r="213" spans="1:1" ht="15.5" customHeight="1" x14ac:dyDescent="0.2"/>
    <row r="214" spans="1:1" ht="15.5" customHeight="1" x14ac:dyDescent="0.2"/>
    <row r="215" spans="1:1" ht="15.5" customHeight="1" x14ac:dyDescent="0.2"/>
    <row r="216" spans="1:1" ht="15.5" customHeight="1" x14ac:dyDescent="0.2">
      <c r="A216">
        <v>189</v>
      </c>
    </row>
    <row r="217" spans="1:1" ht="15.5" customHeight="1" x14ac:dyDescent="0.2"/>
    <row r="218" spans="1:1" ht="15.5" customHeight="1" x14ac:dyDescent="0.2"/>
    <row r="219" spans="1:1" ht="15.5" customHeight="1" x14ac:dyDescent="0.2"/>
    <row r="220" spans="1:1" ht="15.5" customHeight="1" x14ac:dyDescent="0.2"/>
    <row r="221" spans="1:1" ht="15.5" customHeight="1" x14ac:dyDescent="0.2"/>
    <row r="222" spans="1:1" ht="15.5" customHeight="1" x14ac:dyDescent="0.2"/>
    <row r="223" spans="1:1" ht="15.5" customHeight="1" x14ac:dyDescent="0.2"/>
    <row r="224" spans="1:1" ht="15.5" customHeight="1" x14ac:dyDescent="0.2"/>
    <row r="225" spans="1:1" ht="15.5" customHeight="1" x14ac:dyDescent="0.2"/>
    <row r="226" spans="1:1" ht="15.5" customHeight="1" x14ac:dyDescent="0.2">
      <c r="A226">
        <v>925</v>
      </c>
    </row>
    <row r="227" spans="1:1" ht="15.5" customHeight="1" x14ac:dyDescent="0.2"/>
    <row r="228" spans="1:1" ht="15.5" customHeight="1" x14ac:dyDescent="0.2"/>
    <row r="229" spans="1:1" ht="15.5" customHeight="1" x14ac:dyDescent="0.2"/>
    <row r="230" spans="1:1" ht="15.5" customHeight="1" x14ac:dyDescent="0.2">
      <c r="A230">
        <v>787</v>
      </c>
    </row>
    <row r="231" spans="1:1" ht="15.5" customHeight="1" x14ac:dyDescent="0.2"/>
    <row r="251" spans="1:2" x14ac:dyDescent="0.2">
      <c r="A251">
        <v>2574</v>
      </c>
      <c r="B251" t="s">
        <v>733</v>
      </c>
    </row>
    <row r="254" spans="1:2" x14ac:dyDescent="0.2">
      <c r="A254">
        <v>2187</v>
      </c>
    </row>
    <row r="275" spans="1:1" x14ac:dyDescent="0.2">
      <c r="A275">
        <v>1456</v>
      </c>
    </row>
    <row r="278" spans="1:1" x14ac:dyDescent="0.2">
      <c r="A278">
        <v>1237</v>
      </c>
    </row>
    <row r="280" spans="1:1" x14ac:dyDescent="0.2">
      <c r="A280">
        <v>1118</v>
      </c>
    </row>
    <row r="281" spans="1:1" x14ac:dyDescent="0.2">
      <c r="A281">
        <v>950</v>
      </c>
    </row>
    <row r="291" spans="1:1" x14ac:dyDescent="0.2">
      <c r="A291">
        <v>148</v>
      </c>
    </row>
    <row r="294" spans="1:1" x14ac:dyDescent="0.2">
      <c r="A294">
        <v>126</v>
      </c>
    </row>
  </sheetData>
  <sheetProtection algorithmName="SHA-512" hashValue="F0nRlaIscf3aXXhgutBP3/xQq9USPapHvjabbqmM7OBwbxN/Q4ez3sqs6LmUHvD+UzINrWbzJszA2ae74ykq/g==" saltValue="HmwaCEKwGlu8bjGDDlhvNg==" spinCount="100000" sheet="1" objects="1" scenarios="1" selectLockedCells="1"/>
  <phoneticPr fontId="24" type="noConversion"/>
  <pageMargins left="0.5" right="0.5" top="0.5" bottom="0.5" header="0" footer="0"/>
  <pageSetup scale="15" orientation="landscape"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autoPageBreaks="0"/>
  </sheetPr>
  <dimension ref="A2:AJ397"/>
  <sheetViews>
    <sheetView showGridLines="0" zoomScaleNormal="100" workbookViewId="0">
      <selection activeCell="C113" sqref="C113"/>
    </sheetView>
  </sheetViews>
  <sheetFormatPr baseColWidth="10" defaultColWidth="8.6640625" defaultRowHeight="16" x14ac:dyDescent="0.2"/>
  <cols>
    <col min="1" max="1" width="1.1640625" style="23" customWidth="1"/>
    <col min="2" max="2" width="46.6640625" style="23" bestFit="1" customWidth="1"/>
    <col min="3" max="11" width="28.5" style="32" customWidth="1"/>
    <col min="12" max="13" width="8.6640625" style="23" customWidth="1"/>
    <col min="14" max="14" width="16" style="23" customWidth="1"/>
    <col min="15" max="15" width="27.1640625" style="23" customWidth="1"/>
    <col min="16" max="16" width="34.6640625" style="23" customWidth="1"/>
    <col min="17" max="17" width="31.1640625" style="23" customWidth="1"/>
    <col min="18" max="18" width="32.6640625" style="23" customWidth="1"/>
    <col min="19" max="19" width="37.5" style="23" customWidth="1"/>
    <col min="20" max="20" width="32.5" style="23" customWidth="1"/>
    <col min="21" max="21" width="33.5" style="23" customWidth="1"/>
    <col min="22" max="22" width="31.1640625" style="23" customWidth="1"/>
    <col min="23" max="23" width="35.1640625" style="23" customWidth="1"/>
    <col min="24" max="24" width="32.1640625" style="23" customWidth="1"/>
    <col min="25" max="25" width="8.6640625" style="23" customWidth="1"/>
    <col min="26" max="26" width="8.6640625" style="23"/>
    <col min="27" max="27" width="10.6640625"/>
    <col min="28" max="28" width="15.6640625" bestFit="1" customWidth="1"/>
    <col min="29" max="29" width="2.6640625" customWidth="1"/>
    <col min="30" max="30" width="21.1640625" bestFit="1" customWidth="1"/>
    <col min="31" max="31" width="2.6640625" customWidth="1"/>
    <col min="32" max="32" width="32.1640625" bestFit="1" customWidth="1"/>
    <col min="33" max="36" width="8.6640625" style="23"/>
  </cols>
  <sheetData>
    <row r="2" spans="1:36" ht="15.75" customHeight="1" x14ac:dyDescent="0.2">
      <c r="B2" s="19"/>
      <c r="C2" s="20"/>
      <c r="D2" s="20"/>
      <c r="E2" s="21"/>
      <c r="F2" s="21"/>
      <c r="G2" s="21"/>
      <c r="H2" s="21"/>
      <c r="I2" s="21"/>
      <c r="J2" s="21"/>
      <c r="K2" s="21"/>
      <c r="L2" s="22"/>
      <c r="M2" s="22"/>
    </row>
    <row r="3" spans="1:36" x14ac:dyDescent="0.2">
      <c r="B3" s="24" t="s">
        <v>253</v>
      </c>
      <c r="C3" s="25" t="s">
        <v>7</v>
      </c>
      <c r="D3" s="25" t="s">
        <v>908</v>
      </c>
      <c r="E3" s="25" t="s">
        <v>909</v>
      </c>
      <c r="F3" s="25" t="s">
        <v>910</v>
      </c>
      <c r="G3" s="25" t="s">
        <v>911</v>
      </c>
      <c r="H3" s="25" t="s">
        <v>912</v>
      </c>
      <c r="I3" s="25" t="s">
        <v>913</v>
      </c>
      <c r="J3" s="25" t="s">
        <v>914</v>
      </c>
      <c r="K3" s="25" t="s">
        <v>915</v>
      </c>
      <c r="L3" s="24" t="s">
        <v>916</v>
      </c>
      <c r="M3" s="24" t="s">
        <v>917</v>
      </c>
      <c r="N3" s="24" t="s">
        <v>918</v>
      </c>
      <c r="O3" s="24" t="s">
        <v>919</v>
      </c>
      <c r="P3" s="24" t="s">
        <v>920</v>
      </c>
      <c r="Q3" s="24"/>
      <c r="Y3" s="28"/>
      <c r="Z3" s="30"/>
      <c r="AA3" s="30"/>
      <c r="AB3" s="30"/>
      <c r="AC3" s="30"/>
      <c r="AD3" s="30"/>
      <c r="AE3" s="30"/>
      <c r="AF3" s="30"/>
      <c r="AG3" s="30"/>
      <c r="AH3" s="30"/>
    </row>
    <row r="4" spans="1:36" x14ac:dyDescent="0.2">
      <c r="B4" s="26"/>
      <c r="C4" s="27">
        <v>1</v>
      </c>
      <c r="D4" s="27"/>
      <c r="E4" s="27">
        <v>2</v>
      </c>
      <c r="F4" s="27"/>
      <c r="G4" s="27">
        <v>1</v>
      </c>
      <c r="H4" s="27">
        <v>1</v>
      </c>
      <c r="I4" s="27">
        <v>1</v>
      </c>
      <c r="J4" s="27">
        <v>1</v>
      </c>
      <c r="K4" s="27"/>
      <c r="L4" s="35"/>
      <c r="M4" s="35"/>
      <c r="N4" s="35"/>
      <c r="O4" s="30"/>
      <c r="P4" s="35"/>
      <c r="Q4" s="35"/>
      <c r="Y4" s="26"/>
      <c r="Z4" s="27"/>
      <c r="AA4" s="27"/>
      <c r="AB4" s="27"/>
      <c r="AC4" s="27"/>
      <c r="AD4" s="27"/>
      <c r="AE4" s="27"/>
      <c r="AF4" s="27"/>
      <c r="AG4" s="27"/>
      <c r="AH4" s="27"/>
    </row>
    <row r="5" spans="1:36" x14ac:dyDescent="0.2">
      <c r="B5" s="28"/>
      <c r="C5" s="29">
        <v>2</v>
      </c>
      <c r="D5" s="29">
        <v>2</v>
      </c>
      <c r="E5" s="29">
        <v>3</v>
      </c>
      <c r="F5" s="29">
        <v>2</v>
      </c>
      <c r="G5" s="29">
        <v>2</v>
      </c>
      <c r="H5" s="29">
        <v>2</v>
      </c>
      <c r="I5" s="29">
        <v>2</v>
      </c>
      <c r="J5" s="29">
        <v>2</v>
      </c>
      <c r="K5" s="29"/>
      <c r="L5" s="35"/>
      <c r="M5" s="35"/>
      <c r="N5" s="35"/>
      <c r="O5" s="30"/>
      <c r="P5" s="35"/>
      <c r="Q5" s="35"/>
      <c r="Y5" s="26"/>
      <c r="Z5" s="27"/>
      <c r="AA5" s="27"/>
      <c r="AB5" s="27"/>
      <c r="AC5" s="27"/>
      <c r="AD5" s="27"/>
      <c r="AE5" s="27"/>
      <c r="AF5" s="27"/>
      <c r="AG5" s="27"/>
      <c r="AH5" s="27"/>
    </row>
    <row r="6" spans="1:36" x14ac:dyDescent="0.2">
      <c r="A6" s="72"/>
      <c r="B6" s="69"/>
      <c r="C6" s="447" t="b">
        <v>1</v>
      </c>
      <c r="D6" s="447" t="b">
        <v>1</v>
      </c>
      <c r="E6" s="447" t="b">
        <v>1</v>
      </c>
      <c r="F6" s="447" t="b">
        <v>1</v>
      </c>
      <c r="G6" s="447" t="b">
        <v>1</v>
      </c>
      <c r="H6" s="447" t="b">
        <v>1</v>
      </c>
      <c r="I6" s="447"/>
      <c r="J6" s="447" t="b">
        <v>1</v>
      </c>
      <c r="K6" s="70"/>
      <c r="L6" s="71"/>
      <c r="M6" s="71"/>
      <c r="N6" s="71"/>
      <c r="O6" s="17"/>
      <c r="P6" s="35"/>
      <c r="Q6" s="35"/>
      <c r="R6"/>
      <c r="S6"/>
      <c r="T6"/>
      <c r="X6"/>
      <c r="Y6" s="73"/>
      <c r="Z6" s="74"/>
      <c r="AA6" s="74"/>
      <c r="AB6" s="74"/>
      <c r="AC6" s="74"/>
      <c r="AD6" s="74"/>
      <c r="AE6" s="74"/>
      <c r="AF6" s="74"/>
      <c r="AG6" s="74"/>
      <c r="AH6" s="74"/>
      <c r="AI6" s="72"/>
      <c r="AJ6" s="72"/>
    </row>
    <row r="7" spans="1:36" x14ac:dyDescent="0.2">
      <c r="A7" s="72"/>
      <c r="B7" s="69"/>
      <c r="C7" s="70">
        <v>1</v>
      </c>
      <c r="D7" s="70"/>
      <c r="E7" s="70"/>
      <c r="F7" s="70"/>
      <c r="G7" s="70">
        <v>1</v>
      </c>
      <c r="H7" s="70"/>
      <c r="I7" s="70">
        <v>1</v>
      </c>
      <c r="J7" s="70"/>
      <c r="K7" s="70"/>
      <c r="L7" s="71"/>
      <c r="M7" s="71"/>
      <c r="N7" s="71"/>
      <c r="O7" s="17"/>
      <c r="P7" s="35"/>
      <c r="Q7" s="35"/>
      <c r="R7"/>
      <c r="S7"/>
      <c r="T7"/>
      <c r="X7"/>
      <c r="Y7" s="73"/>
      <c r="Z7" s="74"/>
      <c r="AA7" s="74"/>
      <c r="AB7" s="74"/>
      <c r="AC7" s="74"/>
      <c r="AD7" s="74"/>
      <c r="AE7" s="74"/>
      <c r="AF7" s="74"/>
      <c r="AG7" s="74"/>
      <c r="AH7" s="74"/>
      <c r="AI7" s="72"/>
      <c r="AJ7" s="72"/>
    </row>
    <row r="8" spans="1:36" x14ac:dyDescent="0.2">
      <c r="B8" s="26"/>
      <c r="C8" s="30"/>
      <c r="D8" s="27"/>
      <c r="E8" s="29"/>
      <c r="F8" s="27"/>
      <c r="G8" s="29"/>
      <c r="H8" s="27"/>
      <c r="I8" s="29"/>
      <c r="J8" s="27"/>
      <c r="K8" s="29"/>
      <c r="L8" s="35"/>
      <c r="M8" s="35"/>
      <c r="N8" s="35"/>
      <c r="O8" s="17"/>
      <c r="P8" s="35"/>
      <c r="Q8" s="35"/>
      <c r="R8"/>
      <c r="S8"/>
      <c r="T8"/>
      <c r="X8"/>
      <c r="Y8" s="26"/>
      <c r="Z8" s="27"/>
      <c r="AA8" s="27"/>
      <c r="AB8" s="27"/>
      <c r="AC8" s="27"/>
      <c r="AD8" s="27"/>
      <c r="AE8" s="27"/>
      <c r="AF8" s="27"/>
      <c r="AG8" s="27"/>
      <c r="AH8" s="27"/>
    </row>
    <row r="9" spans="1:36" x14ac:dyDescent="0.2">
      <c r="B9" s="26"/>
      <c r="C9" s="30">
        <f>IF(C$36=0,0,(C$36-1)*IF(C$4=1,1,0))</f>
        <v>0</v>
      </c>
      <c r="D9" s="30">
        <f t="shared" ref="D9:J9" si="0">IF(D$36=0,0,(D$36-1)*IF(D$4=1,1,0))</f>
        <v>0</v>
      </c>
      <c r="E9" s="30">
        <f t="shared" si="0"/>
        <v>0</v>
      </c>
      <c r="F9" s="30">
        <f t="shared" si="0"/>
        <v>0</v>
      </c>
      <c r="G9" s="30">
        <f t="shared" si="0"/>
        <v>0</v>
      </c>
      <c r="H9" s="30">
        <f t="shared" si="0"/>
        <v>0</v>
      </c>
      <c r="I9" s="30">
        <f t="shared" si="0"/>
        <v>0</v>
      </c>
      <c r="J9" s="30">
        <f t="shared" si="0"/>
        <v>0</v>
      </c>
      <c r="K9" s="27">
        <f>SUM(TableClientButtons[[#This Row],[Column2]:[Column8]])</f>
        <v>0</v>
      </c>
      <c r="L9" s="35" t="s">
        <v>263</v>
      </c>
      <c r="M9" s="35"/>
      <c r="N9" s="35"/>
      <c r="O9" s="17"/>
      <c r="P9" s="35"/>
      <c r="Q9" s="35"/>
      <c r="R9"/>
      <c r="S9"/>
      <c r="T9"/>
      <c r="X9"/>
      <c r="Y9" s="26"/>
      <c r="Z9" s="27"/>
      <c r="AA9" s="27"/>
      <c r="AB9" s="27"/>
      <c r="AC9" s="27"/>
      <c r="AD9" s="27"/>
      <c r="AE9" s="27"/>
      <c r="AF9" s="27"/>
      <c r="AG9" s="27"/>
      <c r="AH9" s="27"/>
    </row>
    <row r="10" spans="1:36" x14ac:dyDescent="0.2">
      <c r="B10" s="26"/>
      <c r="C10" s="30">
        <f>IF(C$36=0,0,(C$36-1)*IF(C$4=2,1,0))</f>
        <v>0</v>
      </c>
      <c r="D10" s="30">
        <f t="shared" ref="D10:J10" si="1">IF(D$36=0,0,(D$36-1)*IF(D$4=2,1,0))</f>
        <v>0</v>
      </c>
      <c r="E10" s="30">
        <f t="shared" si="1"/>
        <v>0</v>
      </c>
      <c r="F10" s="30">
        <f t="shared" si="1"/>
        <v>0</v>
      </c>
      <c r="G10" s="30">
        <f t="shared" si="1"/>
        <v>0</v>
      </c>
      <c r="H10" s="30">
        <f t="shared" si="1"/>
        <v>0</v>
      </c>
      <c r="I10" s="30">
        <f t="shared" si="1"/>
        <v>0</v>
      </c>
      <c r="J10" s="30">
        <f t="shared" si="1"/>
        <v>0</v>
      </c>
      <c r="K10" s="27">
        <f>SUM(TableClientButtons[[#This Row],[Column2]:[Column8]])</f>
        <v>0</v>
      </c>
      <c r="L10" s="505" t="str">
        <f>IF(AND(K9&gt;K10,K9&gt;K11),
"STD",IF(AND(K10&gt;K9,K10&gt;K11),
"LA",IF(AND(K11&gt;K9,K11&gt;K10),
"LC","Scan.")))</f>
        <v>Scan.</v>
      </c>
      <c r="M10" s="35"/>
      <c r="N10" s="35"/>
      <c r="O10" s="17"/>
      <c r="P10" s="35"/>
      <c r="Q10" s="35"/>
      <c r="R10"/>
      <c r="S10"/>
      <c r="T10"/>
      <c r="X10"/>
      <c r="Y10" s="26"/>
      <c r="Z10" s="27"/>
      <c r="AA10" s="27"/>
      <c r="AB10" s="27"/>
      <c r="AC10" s="27"/>
      <c r="AD10" s="27"/>
      <c r="AE10" s="27"/>
      <c r="AF10" s="27"/>
      <c r="AG10" s="27"/>
      <c r="AH10" s="27"/>
    </row>
    <row r="11" spans="1:36" x14ac:dyDescent="0.2">
      <c r="B11" s="28"/>
      <c r="C11" s="30"/>
      <c r="D11" s="29"/>
      <c r="E11" s="29"/>
      <c r="F11" s="29"/>
      <c r="G11" s="30">
        <f>IF(G$36=0,0,(G$36-1)*IF(G$4=3,1,0))</f>
        <v>0</v>
      </c>
      <c r="H11" s="29"/>
      <c r="I11" s="30">
        <f>IF(I$36=0,0,(I$36-1)*IF(I$4=3,1,0))</f>
        <v>0</v>
      </c>
      <c r="J11" s="29"/>
      <c r="K11" s="27">
        <f>SUM(TableClientButtons[[#This Row],[Column2]:[Column8]])</f>
        <v>0</v>
      </c>
      <c r="L11" s="35"/>
      <c r="M11" s="35"/>
      <c r="N11" s="35"/>
      <c r="O11" s="17"/>
      <c r="P11" s="35"/>
      <c r="Q11" s="35"/>
      <c r="R11"/>
      <c r="S11"/>
      <c r="T11"/>
      <c r="X11"/>
      <c r="Y11" s="26"/>
      <c r="Z11" s="27"/>
      <c r="AA11" s="27"/>
      <c r="AB11" s="27"/>
      <c r="AC11" s="27"/>
      <c r="AD11" s="27"/>
      <c r="AE11" s="27"/>
      <c r="AF11" s="27"/>
      <c r="AG11" s="27"/>
      <c r="AH11" s="31"/>
    </row>
    <row r="12" spans="1:36" x14ac:dyDescent="0.2">
      <c r="B12" s="26"/>
      <c r="C12" s="30"/>
      <c r="D12" s="27"/>
      <c r="E12" s="30"/>
      <c r="F12" s="27"/>
      <c r="G12" s="30"/>
      <c r="H12" s="27"/>
      <c r="I12" s="30"/>
      <c r="J12" s="27"/>
      <c r="K12" s="30"/>
      <c r="L12" s="35"/>
      <c r="M12" s="35" t="s">
        <v>261</v>
      </c>
      <c r="N12" s="35" t="s">
        <v>262</v>
      </c>
      <c r="O12" s="17"/>
      <c r="P12" s="35"/>
      <c r="Q12" s="35"/>
      <c r="R12"/>
      <c r="S12"/>
      <c r="T12"/>
      <c r="X12"/>
      <c r="Y12" s="26"/>
      <c r="Z12" s="27"/>
      <c r="AA12" s="27"/>
      <c r="AB12" s="27"/>
      <c r="AC12" s="27"/>
      <c r="AD12" s="27"/>
      <c r="AE12" s="27"/>
      <c r="AF12" s="27"/>
      <c r="AG12" s="27"/>
      <c r="AH12" s="27"/>
    </row>
    <row r="13" spans="1:36" x14ac:dyDescent="0.2">
      <c r="A13" s="72"/>
      <c r="B13" s="69"/>
      <c r="C13" s="29">
        <v>1</v>
      </c>
      <c r="D13" s="29"/>
      <c r="E13" s="70">
        <v>1</v>
      </c>
      <c r="F13" s="29"/>
      <c r="G13" s="29">
        <v>1</v>
      </c>
      <c r="H13" s="70">
        <v>1</v>
      </c>
      <c r="I13" s="29">
        <v>1</v>
      </c>
      <c r="J13" s="447" t="b">
        <v>1</v>
      </c>
      <c r="K13" s="70"/>
      <c r="L13" s="71"/>
      <c r="M13" s="71">
        <f>(E13-1)+(H13-1)</f>
        <v>0</v>
      </c>
      <c r="N13" s="502">
        <f>IF(OR(N17&gt;0,N21&gt;0,N14&gt;0),M13,MAX((M17+M21+M14+M13)-N23-N22-N21-N17-N14,0))</f>
        <v>0</v>
      </c>
      <c r="O13" s="17"/>
      <c r="P13" s="35"/>
      <c r="Q13" s="35"/>
      <c r="R13"/>
      <c r="S13"/>
      <c r="T13"/>
      <c r="X13"/>
      <c r="Y13" s="73"/>
      <c r="Z13" s="74"/>
      <c r="AA13" s="74"/>
      <c r="AB13" s="74"/>
      <c r="AC13" s="74"/>
      <c r="AD13" s="74"/>
      <c r="AE13" s="74"/>
      <c r="AF13" s="74"/>
      <c r="AG13" s="74"/>
      <c r="AH13" s="74"/>
      <c r="AI13" s="72"/>
      <c r="AJ13" s="72"/>
    </row>
    <row r="14" spans="1:36" x14ac:dyDescent="0.2">
      <c r="A14" s="72"/>
      <c r="B14" s="69"/>
      <c r="C14" s="27">
        <v>1</v>
      </c>
      <c r="D14" s="29"/>
      <c r="E14" s="70">
        <v>1</v>
      </c>
      <c r="F14" s="29"/>
      <c r="G14" s="70">
        <v>1</v>
      </c>
      <c r="H14" s="70">
        <v>1</v>
      </c>
      <c r="I14" s="70">
        <v>1</v>
      </c>
      <c r="J14" s="70" t="b">
        <v>0</v>
      </c>
      <c r="K14" s="70"/>
      <c r="L14" s="71"/>
      <c r="M14" s="71">
        <f t="shared" ref="M14:M23" si="2">(E14-1)+(H14-1)</f>
        <v>0</v>
      </c>
      <c r="N14" s="502">
        <f>IF(OR(N17&gt;0,N21&gt;0),M14,MAX((M17+M21+M14)-N22-N23-N21-N17,0))</f>
        <v>0</v>
      </c>
      <c r="O14" s="17"/>
      <c r="P14" s="35"/>
      <c r="Q14" s="35"/>
      <c r="R14"/>
      <c r="S14"/>
      <c r="T14"/>
      <c r="X14"/>
      <c r="Y14" s="73"/>
      <c r="Z14" s="74"/>
      <c r="AA14" s="74"/>
      <c r="AB14" s="74"/>
      <c r="AC14" s="74"/>
      <c r="AD14" s="74"/>
      <c r="AE14" s="74"/>
      <c r="AF14" s="74"/>
      <c r="AG14" s="74"/>
      <c r="AH14" s="74"/>
      <c r="AI14" s="72"/>
      <c r="AJ14" s="72"/>
    </row>
    <row r="15" spans="1:36" x14ac:dyDescent="0.2">
      <c r="A15" s="72"/>
      <c r="B15" s="73"/>
      <c r="C15" s="27">
        <v>1</v>
      </c>
      <c r="D15" s="27"/>
      <c r="E15" s="70">
        <v>1</v>
      </c>
      <c r="F15" s="27"/>
      <c r="G15" s="70">
        <v>1</v>
      </c>
      <c r="H15" s="74">
        <v>1</v>
      </c>
      <c r="I15" s="70">
        <v>1</v>
      </c>
      <c r="J15" s="74" t="b">
        <v>1</v>
      </c>
      <c r="K15" s="70"/>
      <c r="L15" s="71"/>
      <c r="M15" s="71">
        <f t="shared" si="2"/>
        <v>0</v>
      </c>
      <c r="N15" s="72">
        <f>MAX(M15-N22-N23-N21-N17-N16-N13,0)</f>
        <v>0</v>
      </c>
      <c r="O15" s="17"/>
      <c r="P15" s="35"/>
      <c r="Q15" s="35"/>
      <c r="R15"/>
      <c r="S15"/>
      <c r="T15"/>
      <c r="X15"/>
      <c r="Y15" s="73"/>
      <c r="Z15" s="74"/>
      <c r="AA15" s="74"/>
      <c r="AB15" s="74"/>
      <c r="AC15" s="74"/>
      <c r="AD15" s="74"/>
      <c r="AE15" s="74"/>
      <c r="AF15" s="74"/>
      <c r="AG15" s="74"/>
      <c r="AH15" s="74"/>
      <c r="AI15" s="72"/>
      <c r="AJ15" s="72"/>
    </row>
    <row r="16" spans="1:36" x14ac:dyDescent="0.2">
      <c r="A16" s="72"/>
      <c r="B16" s="73"/>
      <c r="C16" s="29">
        <v>1</v>
      </c>
      <c r="D16" s="27"/>
      <c r="E16" s="74">
        <v>1</v>
      </c>
      <c r="F16" s="27"/>
      <c r="G16" s="74">
        <v>1</v>
      </c>
      <c r="H16" s="74">
        <v>1</v>
      </c>
      <c r="I16" s="74">
        <v>1</v>
      </c>
      <c r="J16" s="74" t="b">
        <v>0</v>
      </c>
      <c r="K16" s="74"/>
      <c r="L16" s="71"/>
      <c r="M16" s="71">
        <f t="shared" si="2"/>
        <v>0</v>
      </c>
      <c r="N16" s="72">
        <f>MAX(M16-N22-N23-N21-N17,0)</f>
        <v>0</v>
      </c>
      <c r="O16" s="17"/>
      <c r="P16" s="35"/>
      <c r="Q16" s="35"/>
      <c r="R16"/>
      <c r="S16"/>
      <c r="T16"/>
      <c r="X16"/>
      <c r="Y16" s="26"/>
      <c r="Z16" s="27"/>
      <c r="AA16" s="27"/>
      <c r="AB16" s="27"/>
      <c r="AC16" s="27"/>
      <c r="AD16" s="27"/>
      <c r="AE16" s="27"/>
      <c r="AF16" s="27"/>
      <c r="AG16" s="27"/>
      <c r="AH16" s="27"/>
      <c r="AI16" s="72"/>
      <c r="AJ16" s="72"/>
    </row>
    <row r="17" spans="2:34" x14ac:dyDescent="0.2">
      <c r="B17" s="26"/>
      <c r="C17" s="27">
        <v>1</v>
      </c>
      <c r="D17" s="27"/>
      <c r="E17" s="74">
        <v>1</v>
      </c>
      <c r="F17" s="27"/>
      <c r="G17" s="27"/>
      <c r="H17" s="74">
        <v>1</v>
      </c>
      <c r="I17" s="27"/>
      <c r="J17" s="27"/>
      <c r="K17" s="27"/>
      <c r="L17" s="35"/>
      <c r="M17" s="71">
        <f t="shared" si="2"/>
        <v>0</v>
      </c>
      <c r="N17" s="502">
        <f>IF(SUM(M21,M17)&gt;M23+M22,SUM(M21,M17)-M23-M22-N21,MAX((M17+M21)-N22-N23,0))</f>
        <v>0</v>
      </c>
      <c r="O17" s="17"/>
      <c r="P17" s="35"/>
      <c r="Q17" s="35"/>
      <c r="R17"/>
      <c r="S17"/>
      <c r="T17"/>
      <c r="X17"/>
      <c r="Y17" s="26"/>
      <c r="Z17" s="27"/>
      <c r="AA17" s="27"/>
      <c r="AB17" s="27"/>
      <c r="AC17" s="27"/>
      <c r="AD17" s="27"/>
      <c r="AE17" s="27"/>
      <c r="AF17" s="27"/>
      <c r="AG17" s="27"/>
      <c r="AH17" s="27"/>
    </row>
    <row r="18" spans="2:34" x14ac:dyDescent="0.2">
      <c r="B18" s="28"/>
      <c r="C18" s="29"/>
      <c r="D18" s="29"/>
      <c r="E18" s="70">
        <v>1</v>
      </c>
      <c r="F18" s="29"/>
      <c r="G18" s="29"/>
      <c r="H18" s="70">
        <v>1</v>
      </c>
      <c r="I18" s="29"/>
      <c r="J18" s="29"/>
      <c r="K18" s="29"/>
      <c r="L18" s="35"/>
      <c r="M18" s="71">
        <f t="shared" si="2"/>
        <v>0</v>
      </c>
      <c r="N18" s="23">
        <f>M18</f>
        <v>0</v>
      </c>
      <c r="O18" s="17"/>
      <c r="P18" s="35"/>
      <c r="Q18" s="35"/>
      <c r="R18"/>
      <c r="S18"/>
      <c r="T18"/>
      <c r="X18"/>
      <c r="Y18" s="26"/>
      <c r="Z18" s="27"/>
      <c r="AA18" s="27"/>
      <c r="AB18" s="27"/>
      <c r="AC18" s="27"/>
      <c r="AD18" s="27"/>
      <c r="AE18" s="27"/>
      <c r="AF18" s="27"/>
      <c r="AG18" s="27"/>
      <c r="AH18" s="27"/>
    </row>
    <row r="19" spans="2:34" x14ac:dyDescent="0.2">
      <c r="B19" s="26"/>
      <c r="C19" s="30"/>
      <c r="D19" s="27"/>
      <c r="E19" s="75">
        <v>1</v>
      </c>
      <c r="F19" s="27"/>
      <c r="G19" s="30"/>
      <c r="H19" s="74">
        <v>1</v>
      </c>
      <c r="I19" s="30"/>
      <c r="J19" s="27"/>
      <c r="K19" s="30"/>
      <c r="L19" s="35"/>
      <c r="M19" s="71">
        <f t="shared" si="2"/>
        <v>0</v>
      </c>
      <c r="N19" s="23">
        <f>M19</f>
        <v>0</v>
      </c>
      <c r="O19" s="17"/>
      <c r="P19" s="35"/>
      <c r="Q19" s="35"/>
      <c r="R19"/>
      <c r="S19"/>
      <c r="T19"/>
      <c r="X19"/>
      <c r="Y19" s="26"/>
      <c r="Z19" s="27"/>
      <c r="AA19" s="27"/>
      <c r="AB19" s="27"/>
      <c r="AC19" s="27"/>
      <c r="AD19" s="27"/>
      <c r="AE19" s="27"/>
      <c r="AF19" s="27"/>
      <c r="AG19" s="27"/>
      <c r="AH19" s="27"/>
    </row>
    <row r="20" spans="2:34" x14ac:dyDescent="0.2">
      <c r="B20" s="28"/>
      <c r="C20" s="30"/>
      <c r="D20" s="27"/>
      <c r="E20" s="75">
        <v>1</v>
      </c>
      <c r="F20" s="27"/>
      <c r="G20" s="30"/>
      <c r="H20" s="74">
        <v>1</v>
      </c>
      <c r="I20" s="30"/>
      <c r="J20" s="27"/>
      <c r="K20" s="30"/>
      <c r="L20" s="35"/>
      <c r="M20" s="71">
        <f t="shared" si="2"/>
        <v>0</v>
      </c>
      <c r="N20" s="23">
        <f>M20</f>
        <v>0</v>
      </c>
      <c r="O20" s="17"/>
      <c r="P20" s="35"/>
      <c r="Q20" s="35"/>
      <c r="R20"/>
      <c r="S20"/>
      <c r="T20"/>
      <c r="X20"/>
      <c r="Y20" s="26"/>
      <c r="Z20" s="27"/>
      <c r="AA20" s="27"/>
      <c r="AB20" s="27"/>
      <c r="AC20" s="27"/>
      <c r="AD20" s="27"/>
      <c r="AE20" s="27"/>
      <c r="AF20" s="27"/>
      <c r="AG20" s="27"/>
      <c r="AH20" s="27"/>
    </row>
    <row r="21" spans="2:34" x14ac:dyDescent="0.2">
      <c r="B21" s="26"/>
      <c r="C21" s="30"/>
      <c r="D21" s="27"/>
      <c r="E21" s="75">
        <v>1</v>
      </c>
      <c r="F21" s="27"/>
      <c r="G21" s="30"/>
      <c r="H21" s="74">
        <v>1</v>
      </c>
      <c r="I21" s="30"/>
      <c r="J21" s="27"/>
      <c r="K21" s="30"/>
      <c r="L21" s="35"/>
      <c r="M21" s="71">
        <f t="shared" si="2"/>
        <v>0</v>
      </c>
      <c r="N21" s="23">
        <f>MAX(M21-M22-M23,0)</f>
        <v>0</v>
      </c>
      <c r="O21" s="17"/>
      <c r="P21" s="35"/>
      <c r="Q21" s="35"/>
      <c r="R21"/>
      <c r="S21"/>
      <c r="T21"/>
      <c r="X21"/>
      <c r="Y21" s="26"/>
      <c r="Z21" s="27"/>
      <c r="AA21" s="27"/>
      <c r="AB21" s="27"/>
      <c r="AC21" s="27"/>
      <c r="AD21" s="27"/>
      <c r="AE21" s="27"/>
      <c r="AF21" s="27"/>
      <c r="AG21" s="27"/>
      <c r="AH21" s="27"/>
    </row>
    <row r="22" spans="2:34" x14ac:dyDescent="0.2">
      <c r="B22" s="28"/>
      <c r="C22" s="30"/>
      <c r="D22" s="27"/>
      <c r="E22" s="75">
        <v>1</v>
      </c>
      <c r="F22" s="27"/>
      <c r="G22" s="30"/>
      <c r="H22" s="74">
        <v>1</v>
      </c>
      <c r="I22" s="30"/>
      <c r="J22" s="27"/>
      <c r="K22" s="30"/>
      <c r="L22" s="35"/>
      <c r="M22" s="71">
        <f t="shared" si="2"/>
        <v>0</v>
      </c>
      <c r="N22" s="23">
        <f>MAX(M22-M23,0)</f>
        <v>0</v>
      </c>
      <c r="O22" s="17"/>
      <c r="P22" s="35"/>
      <c r="Q22" s="35"/>
      <c r="R22"/>
      <c r="S22"/>
      <c r="T22"/>
      <c r="X22"/>
      <c r="Y22" s="26"/>
      <c r="Z22" s="27"/>
      <c r="AA22" s="27"/>
      <c r="AB22" s="27"/>
      <c r="AC22" s="27"/>
      <c r="AD22" s="27"/>
      <c r="AE22" s="27"/>
      <c r="AF22" s="27"/>
      <c r="AG22" s="27"/>
      <c r="AH22" s="27"/>
    </row>
    <row r="23" spans="2:34" x14ac:dyDescent="0.2">
      <c r="B23" s="26"/>
      <c r="C23" s="30"/>
      <c r="D23" s="27"/>
      <c r="E23" s="75">
        <v>1</v>
      </c>
      <c r="F23" s="27"/>
      <c r="G23" s="30"/>
      <c r="H23" s="74">
        <v>1</v>
      </c>
      <c r="I23" s="30"/>
      <c r="J23" s="27"/>
      <c r="K23" s="30"/>
      <c r="L23" s="35"/>
      <c r="M23" s="71">
        <f t="shared" si="2"/>
        <v>0</v>
      </c>
      <c r="N23" s="23">
        <f>M23</f>
        <v>0</v>
      </c>
      <c r="O23" s="17"/>
      <c r="P23" s="35"/>
      <c r="Q23" s="35"/>
      <c r="R23"/>
      <c r="S23"/>
      <c r="T23"/>
      <c r="X23"/>
      <c r="Y23" s="26"/>
      <c r="Z23" s="27"/>
      <c r="AA23" s="27"/>
      <c r="AB23" s="27"/>
      <c r="AC23" s="27"/>
      <c r="AD23" s="27"/>
      <c r="AE23" s="27"/>
      <c r="AF23" s="27"/>
      <c r="AG23" s="27"/>
      <c r="AH23" s="27"/>
    </row>
    <row r="24" spans="2:34" x14ac:dyDescent="0.2">
      <c r="B24" s="26"/>
      <c r="C24" s="30"/>
      <c r="D24" s="27"/>
      <c r="E24" s="459">
        <f>SUM(E15,E16,E17,E21,E22,E23)-6 + (SUM(E13,E18)-2)*2 + (SUM(RHIZO_Option2,RHIZO_Option7)-2)*3 + (RHIZO_Option8-1)*5</f>
        <v>0</v>
      </c>
      <c r="F24" s="27"/>
      <c r="G24" s="30"/>
      <c r="H24" s="460">
        <f>SUM(H15,H16,H17,H21,H22,H23)-6 + (SUM(H13,H18)-2)*2 + (SUM(SEEDLE_Option2,SEEDLE_Option7)-2)*3 + (SEEDLE_Option8-1)*5</f>
        <v>0</v>
      </c>
      <c r="I24" s="30"/>
      <c r="J24" s="27"/>
      <c r="K24" s="30"/>
      <c r="L24" s="35"/>
      <c r="M24" s="35"/>
      <c r="N24" s="35"/>
      <c r="O24" s="17"/>
      <c r="P24" s="35"/>
      <c r="Q24" s="35"/>
      <c r="R24"/>
      <c r="S24"/>
      <c r="T24"/>
      <c r="X24"/>
      <c r="Y24" s="26"/>
      <c r="Z24" s="27"/>
      <c r="AA24" s="27"/>
      <c r="AB24" s="27"/>
      <c r="AC24" s="27"/>
      <c r="AD24" s="27"/>
      <c r="AE24" s="27"/>
      <c r="AF24" s="27"/>
      <c r="AG24" s="27"/>
      <c r="AH24" s="27"/>
    </row>
    <row r="25" spans="2:34" x14ac:dyDescent="0.2">
      <c r="B25" s="26"/>
      <c r="C25" s="30">
        <v>2</v>
      </c>
      <c r="D25" s="27">
        <v>2</v>
      </c>
      <c r="E25" s="30">
        <v>2</v>
      </c>
      <c r="F25" s="27">
        <v>1</v>
      </c>
      <c r="G25" s="30">
        <v>2</v>
      </c>
      <c r="H25" s="27">
        <v>1</v>
      </c>
      <c r="I25" s="30">
        <v>1</v>
      </c>
      <c r="J25" s="27">
        <v>2</v>
      </c>
      <c r="K25" s="30"/>
      <c r="L25" s="35"/>
      <c r="M25" s="35"/>
      <c r="N25" s="35"/>
      <c r="O25" s="17"/>
      <c r="P25" s="35"/>
      <c r="Q25" s="35"/>
      <c r="R25"/>
      <c r="S25"/>
      <c r="T25"/>
      <c r="X25"/>
      <c r="Y25" s="26"/>
      <c r="Z25" s="27"/>
      <c r="AA25" s="27"/>
      <c r="AB25" s="27"/>
      <c r="AC25" s="27"/>
      <c r="AD25" s="27"/>
      <c r="AE25" s="27"/>
      <c r="AF25" s="27"/>
      <c r="AG25" s="27"/>
      <c r="AH25" s="27"/>
    </row>
    <row r="26" spans="2:34" x14ac:dyDescent="0.2">
      <c r="B26" s="26"/>
      <c r="C26" s="30"/>
      <c r="D26" s="27"/>
      <c r="E26" s="30">
        <v>10</v>
      </c>
      <c r="F26" s="27"/>
      <c r="G26" s="30"/>
      <c r="H26" s="27"/>
      <c r="I26" s="30"/>
      <c r="J26" s="27"/>
      <c r="K26" s="30"/>
      <c r="L26" s="35"/>
      <c r="M26" s="35"/>
      <c r="N26" s="35"/>
      <c r="O26" s="17"/>
      <c r="P26" s="35"/>
      <c r="Q26" s="35"/>
      <c r="R26"/>
      <c r="S26"/>
      <c r="T26"/>
      <c r="X26"/>
      <c r="Y26" s="26"/>
      <c r="Z26" s="27"/>
      <c r="AA26" s="27"/>
      <c r="AB26" s="27"/>
      <c r="AC26" s="27"/>
      <c r="AD26" s="27"/>
      <c r="AE26" s="27"/>
      <c r="AF26" s="27"/>
      <c r="AG26" s="27"/>
      <c r="AH26" s="27"/>
    </row>
    <row r="27" spans="2:34" x14ac:dyDescent="0.2">
      <c r="B27" s="36"/>
      <c r="C27" s="38">
        <v>2025</v>
      </c>
      <c r="D27" s="39">
        <v>2025</v>
      </c>
      <c r="E27" s="38">
        <v>2025</v>
      </c>
      <c r="F27" s="39">
        <v>2025</v>
      </c>
      <c r="G27" s="38">
        <v>2025</v>
      </c>
      <c r="H27" s="39">
        <v>2025</v>
      </c>
      <c r="I27" s="38">
        <v>2025</v>
      </c>
      <c r="J27" s="39">
        <v>2025</v>
      </c>
      <c r="K27" s="38"/>
      <c r="L27" s="35"/>
      <c r="M27" s="35"/>
      <c r="N27" s="35"/>
      <c r="O27" s="17"/>
      <c r="P27" s="35"/>
      <c r="Q27" s="35"/>
      <c r="R27"/>
      <c r="S27"/>
      <c r="T27"/>
      <c r="X27"/>
      <c r="Y27" s="26"/>
      <c r="Z27" s="27"/>
      <c r="AA27" s="27"/>
      <c r="AB27" s="27"/>
      <c r="AC27" s="27"/>
      <c r="AD27" s="27"/>
      <c r="AE27" s="27"/>
      <c r="AF27" s="27"/>
      <c r="AG27" s="27"/>
      <c r="AH27" s="27"/>
    </row>
    <row r="28" spans="2:34" x14ac:dyDescent="0.2">
      <c r="B28" s="26"/>
      <c r="C28" s="30">
        <v>3</v>
      </c>
      <c r="D28" s="27">
        <v>3</v>
      </c>
      <c r="E28" s="30">
        <v>4</v>
      </c>
      <c r="F28" s="27">
        <v>3</v>
      </c>
      <c r="G28" s="30">
        <v>3</v>
      </c>
      <c r="H28" s="27">
        <v>3</v>
      </c>
      <c r="I28" s="30">
        <v>3</v>
      </c>
      <c r="J28" s="27">
        <v>3</v>
      </c>
      <c r="K28" s="30"/>
      <c r="L28" s="35"/>
      <c r="M28" s="35"/>
      <c r="N28" s="35"/>
      <c r="O28" s="17"/>
      <c r="P28" s="35"/>
      <c r="Q28" s="35"/>
      <c r="R28"/>
      <c r="S28"/>
      <c r="T28"/>
      <c r="X28"/>
      <c r="Y28" s="26"/>
      <c r="Z28" s="27"/>
      <c r="AA28" s="27"/>
      <c r="AB28" s="27"/>
      <c r="AC28" s="27"/>
      <c r="AD28" s="27"/>
      <c r="AE28" s="27"/>
      <c r="AF28" s="27"/>
      <c r="AG28" s="27"/>
      <c r="AH28" s="27"/>
    </row>
    <row r="29" spans="2:34" x14ac:dyDescent="0.2">
      <c r="B29" s="299"/>
      <c r="C29" s="300"/>
      <c r="D29" s="301"/>
      <c r="E29" s="300"/>
      <c r="F29" s="301"/>
      <c r="G29" s="300"/>
      <c r="H29" s="301"/>
      <c r="I29" s="300"/>
      <c r="J29" s="301"/>
      <c r="K29" s="30"/>
      <c r="L29" s="35"/>
      <c r="M29" s="35"/>
      <c r="N29" s="35"/>
      <c r="O29" s="17"/>
      <c r="P29" s="35"/>
      <c r="Q29" s="35"/>
      <c r="R29"/>
      <c r="S29"/>
      <c r="T29"/>
      <c r="X29"/>
      <c r="Y29" s="26"/>
      <c r="Z29" s="27"/>
      <c r="AA29" s="27"/>
      <c r="AB29" s="27"/>
      <c r="AC29" s="27"/>
      <c r="AD29" s="27"/>
      <c r="AE29" s="27"/>
      <c r="AF29" s="27"/>
      <c r="AG29" s="27"/>
      <c r="AH29" s="27"/>
    </row>
    <row r="30" spans="2:34" x14ac:dyDescent="0.2">
      <c r="B30" s="299"/>
      <c r="C30" s="300"/>
      <c r="D30" s="301"/>
      <c r="E30" s="300"/>
      <c r="F30" s="301"/>
      <c r="G30" s="300"/>
      <c r="H30" s="301"/>
      <c r="I30" s="300"/>
      <c r="J30" s="301"/>
      <c r="K30" s="27"/>
      <c r="L30" s="35"/>
      <c r="M30" s="35"/>
      <c r="N30" s="35"/>
      <c r="O30" s="17"/>
      <c r="P30" s="35"/>
      <c r="Q30" s="35"/>
      <c r="R30"/>
      <c r="S30"/>
      <c r="T30"/>
      <c r="X30"/>
      <c r="Y30" s="26"/>
      <c r="Z30" s="27"/>
      <c r="AA30" s="27"/>
      <c r="AB30" s="27"/>
      <c r="AC30" s="27"/>
      <c r="AD30" s="27"/>
      <c r="AE30" s="27"/>
      <c r="AF30" s="27"/>
      <c r="AG30" s="27"/>
      <c r="AH30" s="27"/>
    </row>
    <row r="31" spans="2:34" x14ac:dyDescent="0.2">
      <c r="B31" s="26"/>
      <c r="C31" s="583">
        <f>IF(DENDRO_ClientWithOrWithoutScanner_ChkBox,1,2)</f>
        <v>1</v>
      </c>
      <c r="D31" s="27"/>
      <c r="E31" s="583">
        <f>IF(RHIZO_ClientWithOrWithoutScanner_ChkBox,1,2)</f>
        <v>1</v>
      </c>
      <c r="F31" s="27"/>
      <c r="G31" s="583">
        <f>IF(FOLIA_ClientWithOrWithoutScanner_ChkBox,1,2)</f>
        <v>2</v>
      </c>
      <c r="H31" s="584">
        <f>IF(SEEDLE_ClientWithOrWithoutScanner_ChkBox,1,2)</f>
        <v>2</v>
      </c>
      <c r="I31" s="583">
        <f>IF(CAM_ClientWithOrWithoutScanner_ChkBox,1,2)</f>
        <v>1</v>
      </c>
      <c r="J31" s="301">
        <v>0</v>
      </c>
      <c r="K31" s="30"/>
      <c r="L31" s="35"/>
      <c r="M31" s="35"/>
      <c r="N31" s="35"/>
      <c r="O31" s="17"/>
      <c r="P31" s="35"/>
      <c r="Q31" s="35"/>
      <c r="R31"/>
      <c r="S31"/>
      <c r="T31"/>
      <c r="X31"/>
      <c r="Y31" s="26"/>
      <c r="Z31" s="27"/>
      <c r="AA31" s="27"/>
      <c r="AB31" s="27"/>
      <c r="AC31" s="27"/>
      <c r="AD31" s="27"/>
      <c r="AE31" s="27"/>
      <c r="AF31" s="27"/>
      <c r="AG31" s="27"/>
      <c r="AH31" s="27"/>
    </row>
    <row r="32" spans="2:34" x14ac:dyDescent="0.2">
      <c r="B32" s="26"/>
      <c r="C32" s="30" t="b">
        <v>1</v>
      </c>
      <c r="D32" s="29"/>
      <c r="E32" s="29" t="b">
        <v>1</v>
      </c>
      <c r="F32" s="29"/>
      <c r="G32" s="29" t="b">
        <v>0</v>
      </c>
      <c r="H32" s="29" t="b">
        <v>0</v>
      </c>
      <c r="I32" s="29" t="b">
        <v>1</v>
      </c>
      <c r="J32" s="29"/>
      <c r="K32" s="29"/>
      <c r="L32" s="35"/>
      <c r="M32" s="35"/>
      <c r="N32" s="35"/>
      <c r="O32" s="17"/>
      <c r="P32" s="35"/>
      <c r="Q32" s="35"/>
      <c r="R32"/>
      <c r="S32"/>
      <c r="T32"/>
      <c r="X32"/>
      <c r="Y32" s="26"/>
      <c r="Z32" s="27"/>
      <c r="AA32" s="27"/>
      <c r="AB32" s="27"/>
      <c r="AC32" s="27"/>
      <c r="AD32" s="27"/>
      <c r="AE32" s="27"/>
      <c r="AF32" s="27"/>
      <c r="AG32" s="27"/>
      <c r="AH32" s="27"/>
    </row>
    <row r="33" spans="1:36" x14ac:dyDescent="0.2">
      <c r="E33" s="32" t="b">
        <v>1</v>
      </c>
      <c r="G33" s="32" t="b">
        <v>1</v>
      </c>
      <c r="H33" s="32" t="b">
        <v>0</v>
      </c>
      <c r="I33" s="32" t="b">
        <v>1</v>
      </c>
      <c r="M33" s="35"/>
      <c r="N33" s="35"/>
      <c r="O33" s="30" t="str">
        <f>TableClientButtons[[#Headers],[Column14]]</f>
        <v>Column14</v>
      </c>
      <c r="P33" s="35" t="str">
        <f>TableClientButtons[[#Headers],[Column15]]</f>
        <v>Column15</v>
      </c>
      <c r="Q33" s="35"/>
      <c r="R33"/>
      <c r="S33"/>
      <c r="T33"/>
      <c r="X33"/>
      <c r="Y33" s="26"/>
      <c r="Z33" s="27"/>
      <c r="AA33" s="27"/>
      <c r="AB33" s="27"/>
      <c r="AC33" s="27"/>
      <c r="AD33" s="27"/>
      <c r="AE33" s="27"/>
      <c r="AF33" s="27"/>
      <c r="AG33" s="27"/>
      <c r="AH33" s="27"/>
    </row>
    <row r="34" spans="1:36" x14ac:dyDescent="0.2">
      <c r="A34" s="72"/>
      <c r="B34" s="73"/>
      <c r="C34" s="75">
        <v>1</v>
      </c>
      <c r="D34" s="74">
        <v>1</v>
      </c>
      <c r="E34" s="75">
        <v>1</v>
      </c>
      <c r="F34" s="74">
        <v>1</v>
      </c>
      <c r="G34" s="75">
        <v>1</v>
      </c>
      <c r="H34" s="74">
        <v>1</v>
      </c>
      <c r="I34" s="75">
        <v>1</v>
      </c>
      <c r="J34" s="74">
        <v>1</v>
      </c>
      <c r="K34" s="75"/>
      <c r="L34" s="71"/>
      <c r="M34" s="576">
        <f>SUM(TableClientButtons[[#This Row],[Column2]:[Column9]])-COUNT(TableClientButtons[[#This Row],[Column2]:[Column9]])</f>
        <v>0</v>
      </c>
      <c r="N34" s="71"/>
      <c r="O34" s="676">
        <f>IF(
AND(
 N_Soft_Upd_Upg_Total&gt;0,
 SUM(O68,O71:O73,O75:O76,O80)=0),
1,0)</f>
        <v>0</v>
      </c>
      <c r="P34" s="634">
        <f>INDEX('Ship$'!D11:Y11,1,SHIP_Country_Index)*SHIP_CurrencyTaux</f>
        <v>88.06</v>
      </c>
      <c r="Q34" s="35"/>
      <c r="R34"/>
      <c r="S34"/>
      <c r="T34"/>
      <c r="X34"/>
      <c r="Y34" s="73"/>
      <c r="Z34" s="74"/>
      <c r="AA34" s="74"/>
      <c r="AB34" s="74"/>
      <c r="AC34" s="74"/>
      <c r="AD34" s="74"/>
      <c r="AE34" s="74"/>
      <c r="AF34" s="74"/>
      <c r="AG34" s="74"/>
      <c r="AH34" s="74"/>
      <c r="AI34" s="72"/>
      <c r="AJ34" s="72"/>
    </row>
    <row r="35" spans="1:36" x14ac:dyDescent="0.2">
      <c r="A35" s="72"/>
      <c r="B35" s="73"/>
      <c r="C35" s="75">
        <v>1</v>
      </c>
      <c r="D35" s="74">
        <v>1</v>
      </c>
      <c r="E35" s="75">
        <v>1</v>
      </c>
      <c r="F35" s="74">
        <v>1</v>
      </c>
      <c r="G35" s="75">
        <v>1</v>
      </c>
      <c r="H35" s="74">
        <v>1</v>
      </c>
      <c r="I35" s="75">
        <v>1</v>
      </c>
      <c r="J35" s="74">
        <v>1</v>
      </c>
      <c r="K35" s="75"/>
      <c r="L35" s="71"/>
      <c r="M35" s="576">
        <f>SUM(TableClientButtons[[#This Row],[Column2]:[Column9]])-COUNT(TableClientButtons[[#This Row],[Column2]:[Column9]])</f>
        <v>0</v>
      </c>
      <c r="N35" s="71"/>
      <c r="O35" s="30"/>
      <c r="P35" s="35"/>
      <c r="Q35" s="35"/>
      <c r="R35"/>
      <c r="S35"/>
      <c r="T35"/>
      <c r="X35"/>
      <c r="Y35" s="73"/>
      <c r="Z35" s="74"/>
      <c r="AA35" s="74"/>
      <c r="AB35" s="74"/>
      <c r="AC35" s="74"/>
      <c r="AD35" s="74"/>
      <c r="AE35" s="74"/>
      <c r="AF35" s="74"/>
      <c r="AG35" s="74"/>
      <c r="AH35" s="74"/>
      <c r="AI35" s="72"/>
      <c r="AJ35" s="72"/>
    </row>
    <row r="36" spans="1:36" x14ac:dyDescent="0.2">
      <c r="A36" s="72"/>
      <c r="B36" s="73"/>
      <c r="C36" s="75">
        <v>1</v>
      </c>
      <c r="D36" s="301"/>
      <c r="E36" s="75">
        <v>1</v>
      </c>
      <c r="F36" s="301"/>
      <c r="G36" s="75">
        <v>1</v>
      </c>
      <c r="H36" s="74">
        <v>1</v>
      </c>
      <c r="I36" s="75">
        <v>1</v>
      </c>
      <c r="J36" s="74">
        <v>1</v>
      </c>
      <c r="K36" s="75"/>
      <c r="L36" s="71"/>
      <c r="M36" s="576">
        <f>SUM(TableClientButtons[[#This Row],[Column2]:[Column9]])-COUNT(TableClientButtons[[#This Row],[Column2]:[Column9]])</f>
        <v>0</v>
      </c>
      <c r="N36" s="71"/>
      <c r="O36" s="17"/>
      <c r="P36" s="35"/>
      <c r="Q36" s="35"/>
      <c r="R36"/>
      <c r="S36"/>
      <c r="T36"/>
      <c r="X36"/>
      <c r="Y36" s="73"/>
      <c r="Z36" s="74"/>
      <c r="AA36" s="74"/>
      <c r="AB36" s="74"/>
      <c r="AC36" s="74"/>
      <c r="AD36" s="74"/>
      <c r="AE36" s="74"/>
      <c r="AF36" s="74"/>
      <c r="AG36" s="74"/>
      <c r="AH36" s="74"/>
      <c r="AI36" s="72"/>
      <c r="AJ36" s="72"/>
    </row>
    <row r="37" spans="1:36" x14ac:dyDescent="0.2">
      <c r="A37" s="72"/>
      <c r="B37" s="73"/>
      <c r="C37" s="75">
        <v>1</v>
      </c>
      <c r="D37" s="74">
        <v>1</v>
      </c>
      <c r="E37" s="75">
        <v>1</v>
      </c>
      <c r="F37" s="74">
        <v>1</v>
      </c>
      <c r="G37" s="75">
        <v>1</v>
      </c>
      <c r="H37" s="74">
        <v>1</v>
      </c>
      <c r="I37" s="75">
        <v>1</v>
      </c>
      <c r="J37" s="74">
        <v>1</v>
      </c>
      <c r="K37" s="75"/>
      <c r="L37" s="576"/>
      <c r="M37" s="576">
        <f>SUM(C13:I22)-COUNT(C13:I22)</f>
        <v>0</v>
      </c>
      <c r="N37" s="71"/>
      <c r="O37" s="17"/>
      <c r="P37" s="35"/>
      <c r="Q37" s="35"/>
      <c r="R37"/>
      <c r="S37"/>
      <c r="T37"/>
      <c r="X37"/>
      <c r="Y37" s="73"/>
      <c r="Z37" s="74"/>
      <c r="AA37" s="74"/>
      <c r="AB37" s="74"/>
      <c r="AC37" s="74"/>
      <c r="AD37" s="74"/>
      <c r="AE37" s="74"/>
      <c r="AF37" s="74"/>
      <c r="AG37" s="74"/>
      <c r="AH37" s="74"/>
      <c r="AI37" s="72"/>
      <c r="AJ37" s="72"/>
    </row>
    <row r="38" spans="1:36" x14ac:dyDescent="0.2">
      <c r="B38" s="26"/>
      <c r="C38" s="46" t="str">
        <f>"WinDENDRO™ Basic            "&amp;Calc!A48</f>
        <v>WinDENDRO™ Basic            1339</v>
      </c>
      <c r="D38" s="46" t="str">
        <f>"WinCELL™ Basic  "&amp;Calc!A51</f>
        <v>WinCELL™ Basic  1296</v>
      </c>
      <c r="E38" s="46" t="str">
        <f>"WinRHIZO™ Basic                "&amp;Calc!A54</f>
        <v>WinRHIZO™ Basic                1332</v>
      </c>
      <c r="F38" s="46" t="str">
        <f>"WinRHIZO Tron™ Basic        "&amp; Calc!A58</f>
        <v>WinRHIZO Tron™ Basic        1184</v>
      </c>
      <c r="G38" s="46" t="str">
        <f>"WinFOLIA™ Basic    "&amp;Calc!A61</f>
        <v>WinFOLIA™ Basic    1273</v>
      </c>
      <c r="H38" s="46" t="str">
        <f>"WinSEEDLE™ Basic  " &amp; Calc!A64</f>
        <v>WinSEEDLE™ Basic  1288</v>
      </c>
      <c r="I38" s="46" t="str">
        <f>"WinCAM™ NDVI Basic   "&amp;
Calc!A67</f>
        <v>WinCAM™ NDVI Basic   1294</v>
      </c>
      <c r="J38" s="46" t="str">
        <f>"WinSCANOPY™ Mini    "&amp;
Calc!A70</f>
        <v>WinSCANOPY™ Mini    1369</v>
      </c>
      <c r="K38" s="46"/>
      <c r="L38" s="35"/>
      <c r="M38" s="35"/>
      <c r="N38" s="35"/>
      <c r="O38" s="30"/>
      <c r="P38" s="35"/>
      <c r="Q38" s="35"/>
      <c r="R38"/>
      <c r="S38"/>
      <c r="T38"/>
      <c r="X38"/>
      <c r="Y38" s="26"/>
      <c r="Z38" s="27"/>
      <c r="AA38" s="27"/>
      <c r="AB38" s="27"/>
      <c r="AC38" s="27"/>
      <c r="AD38" s="27"/>
      <c r="AE38" s="27"/>
      <c r="AF38" s="27"/>
      <c r="AG38" s="27"/>
      <c r="AH38" s="27"/>
    </row>
    <row r="39" spans="1:36" x14ac:dyDescent="0.2">
      <c r="B39" s="26"/>
      <c r="C39" s="46" t="str">
        <f>"WinDENDRO™ Reg             "&amp;Calc!A49</f>
        <v>WinDENDRO™ Reg             4292</v>
      </c>
      <c r="D39" s="46" t="str">
        <f>"WinCELL™ Reg    "&amp;Calc!A52</f>
        <v>WinCELL™ Reg    2350</v>
      </c>
      <c r="E39" s="46" t="str">
        <f>"WinRHIZO™ Reg                  "&amp;Calc!A55</f>
        <v>WinRHIZO™ Reg                  3223</v>
      </c>
      <c r="F39" s="46" t="str">
        <f>"WinRHIZO Tron™ Reg          "&amp; Calc!A59</f>
        <v>WinRHIZO Tron™ Reg          1665</v>
      </c>
      <c r="G39" s="46" t="str">
        <f>"WinFOLIA™ Reg      "&amp;Calc!A62</f>
        <v>WinFOLIA™ Reg      2079</v>
      </c>
      <c r="H39" s="46" t="str">
        <f>"WinSEEDLE™ Reg    " &amp; Calc!A65</f>
        <v>WinSEEDLE™ Reg    2020</v>
      </c>
      <c r="I39" s="46" t="str">
        <f>"WinCAM™ NDVI Reg     "&amp;
Calc!A68</f>
        <v>WinCAM™ NDVI Reg     1739</v>
      </c>
      <c r="J39" s="46" t="str">
        <f>"WinSCANOPY™ Reg     "&amp;
Calc!A71</f>
        <v>WinSCANOPY™ Reg     2219</v>
      </c>
      <c r="K39" s="46"/>
      <c r="L39" s="35"/>
      <c r="M39" s="35"/>
      <c r="N39" s="35"/>
      <c r="O39" s="30"/>
      <c r="P39" s="35"/>
      <c r="Q39" s="35"/>
      <c r="R39"/>
      <c r="S39"/>
      <c r="T39"/>
      <c r="X39"/>
      <c r="Y39" s="26"/>
      <c r="Z39" s="27"/>
      <c r="AA39" s="27"/>
      <c r="AB39" s="27"/>
      <c r="AC39" s="27"/>
      <c r="AD39" s="27"/>
      <c r="AE39" s="27"/>
      <c r="AF39" s="27"/>
      <c r="AG39" s="27"/>
      <c r="AH39" s="27"/>
    </row>
    <row r="40" spans="1:36" x14ac:dyDescent="0.2">
      <c r="B40" s="26"/>
      <c r="C40" s="46" t="str">
        <f>"WinDENDRO™ Density      "&amp;Calc!A50</f>
        <v>WinDENDRO™ Density      7252</v>
      </c>
      <c r="D40" s="46" t="str">
        <f>"WinCELL™ Pro    "&amp;Calc!A53</f>
        <v>WinCELL™ Pro    3698</v>
      </c>
      <c r="E40" s="46" t="str">
        <f>"WinRHIZO™ Pro                   "&amp;Calc!A56</f>
        <v>WinRHIZO™ Pro                   5179</v>
      </c>
      <c r="F40" s="46" t="str">
        <f>"WinRHIZO Tron™ MF    "&amp;
Calc!A60</f>
        <v>WinRHIZO Tron™ MF    2540</v>
      </c>
      <c r="G40" s="46" t="str">
        <f>"WinFOLIA™ Pro       "&amp;Calc!A63</f>
        <v>WinFOLIA™ Pro       3685</v>
      </c>
      <c r="H40" s="46" t="str">
        <f>"WinSEEDLE™ Pro     " &amp; Calc!A66</f>
        <v>WinSEEDLE™ Pro     3329</v>
      </c>
      <c r="I40" s="46" t="str">
        <f>"WinCAM™ NDVI Pro     "&amp;
Calc!A69</f>
        <v>WinCAM™ NDVI Pro     2626</v>
      </c>
      <c r="J40" s="46" t="str">
        <f>"WinSCANOPY™ Pro      "&amp;
Calc!A72</f>
        <v>WinSCANOPY™ Pro      3640</v>
      </c>
      <c r="K40" s="46"/>
      <c r="L40" s="35"/>
      <c r="M40" s="35"/>
      <c r="N40" s="35"/>
      <c r="O40" s="30"/>
      <c r="P40" s="35"/>
      <c r="Q40" s="35"/>
      <c r="R40"/>
      <c r="S40"/>
      <c r="T40"/>
      <c r="X40"/>
      <c r="Y40" s="26"/>
      <c r="Z40" s="27"/>
      <c r="AA40" s="27"/>
      <c r="AB40" s="27"/>
      <c r="AC40" s="27"/>
      <c r="AD40" s="27"/>
      <c r="AE40" s="27"/>
      <c r="AF40" s="27"/>
      <c r="AG40" s="27"/>
      <c r="AH40" s="27"/>
    </row>
    <row r="41" spans="1:36" x14ac:dyDescent="0.2">
      <c r="B41" s="26"/>
      <c r="C41" s="46"/>
      <c r="D41" s="46"/>
      <c r="E41" s="46" t="str">
        <f>"WinRHIZO™ Arabidopsis      "&amp;Calc!A57</f>
        <v>WinRHIZO™ Arabidopsis      6451</v>
      </c>
      <c r="F41" s="46"/>
      <c r="G41" s="46"/>
      <c r="H41" s="46"/>
      <c r="I41" s="46"/>
      <c r="J41" s="46"/>
      <c r="K41" s="46"/>
      <c r="L41" s="35"/>
      <c r="M41" s="35"/>
      <c r="N41" s="35"/>
      <c r="O41" s="30"/>
      <c r="P41" s="35"/>
      <c r="Q41" s="35"/>
      <c r="R41"/>
      <c r="S41"/>
      <c r="T41"/>
      <c r="X41"/>
      <c r="Y41" s="26"/>
      <c r="Z41" s="27"/>
      <c r="AA41" s="27"/>
      <c r="AB41" s="27"/>
      <c r="AC41" s="27"/>
      <c r="AD41" s="27"/>
      <c r="AE41" s="27"/>
      <c r="AF41" s="27"/>
      <c r="AG41" s="27"/>
      <c r="AH41" s="27"/>
    </row>
    <row r="42" spans="1:36" x14ac:dyDescent="0.2">
      <c r="B42" s="26"/>
      <c r="C42" s="46"/>
      <c r="D42" s="46"/>
      <c r="E42" s="46"/>
      <c r="F42" s="46"/>
      <c r="G42" s="46"/>
      <c r="H42" s="46"/>
      <c r="I42" s="46"/>
      <c r="J42" s="46"/>
      <c r="K42" s="46"/>
      <c r="L42" s="35"/>
      <c r="M42" s="35"/>
      <c r="N42" s="35"/>
      <c r="O42" s="30"/>
      <c r="P42" s="35"/>
      <c r="Q42" s="35"/>
      <c r="R42"/>
      <c r="S42"/>
      <c r="T42"/>
      <c r="X42"/>
      <c r="Y42" s="26"/>
      <c r="Z42" s="27"/>
      <c r="AA42" s="27"/>
      <c r="AB42" s="27"/>
      <c r="AC42" s="27"/>
      <c r="AD42" s="27"/>
      <c r="AE42" s="27"/>
      <c r="AF42" s="27"/>
      <c r="AG42" s="27"/>
      <c r="AH42" s="27"/>
    </row>
    <row r="43" spans="1:36" x14ac:dyDescent="0.2">
      <c r="B43" s="26"/>
      <c r="C43" s="46"/>
      <c r="D43" s="46"/>
      <c r="E43" s="46"/>
      <c r="F43" s="46"/>
      <c r="G43" s="46"/>
      <c r="H43" s="46"/>
      <c r="I43" s="46"/>
      <c r="J43" s="46"/>
      <c r="K43" s="46"/>
      <c r="L43" s="35"/>
      <c r="M43" s="35"/>
      <c r="N43" s="35"/>
      <c r="O43" s="30"/>
      <c r="P43" s="35"/>
      <c r="Q43" s="35"/>
      <c r="R43"/>
      <c r="S43"/>
      <c r="T43"/>
      <c r="X43"/>
      <c r="Y43" s="26"/>
      <c r="Z43" s="27"/>
      <c r="AA43" s="27"/>
      <c r="AB43" s="27"/>
      <c r="AC43" s="27"/>
      <c r="AD43" s="27"/>
      <c r="AE43" s="27"/>
      <c r="AF43" s="27"/>
      <c r="AG43" s="27"/>
      <c r="AH43" s="27"/>
    </row>
    <row r="44" spans="1:36" x14ac:dyDescent="0.2">
      <c r="B44" s="26"/>
      <c r="C44" s="46"/>
      <c r="D44" s="46"/>
      <c r="E44" s="46"/>
      <c r="F44" s="46"/>
      <c r="G44" s="46"/>
      <c r="H44" s="46"/>
      <c r="I44" s="46"/>
      <c r="J44" s="46"/>
      <c r="K44" s="46"/>
      <c r="L44" s="35"/>
      <c r="M44" s="35"/>
      <c r="N44" s="35"/>
      <c r="O44" s="30"/>
      <c r="P44" s="35"/>
      <c r="Q44" s="35"/>
      <c r="Y44" s="26"/>
      <c r="Z44" s="27"/>
      <c r="AA44" s="27"/>
      <c r="AB44" s="27"/>
      <c r="AC44" s="27"/>
      <c r="AD44" s="27"/>
      <c r="AE44" s="27"/>
      <c r="AF44" s="27"/>
      <c r="AG44" s="27"/>
      <c r="AH44" s="27"/>
    </row>
    <row r="45" spans="1:36" x14ac:dyDescent="0.2">
      <c r="B45" s="26"/>
      <c r="C45" s="46"/>
      <c r="D45" s="46"/>
      <c r="E45" s="46"/>
      <c r="F45" s="46"/>
      <c r="G45" s="46"/>
      <c r="H45" s="46"/>
      <c r="I45" s="46"/>
      <c r="J45" s="46"/>
      <c r="K45" s="46"/>
      <c r="L45" s="35"/>
      <c r="M45" s="35"/>
      <c r="N45" s="35"/>
      <c r="O45" s="30"/>
      <c r="P45" s="35"/>
      <c r="Q45" s="35"/>
      <c r="Y45" s="26"/>
      <c r="Z45" s="27"/>
      <c r="AA45" s="27"/>
      <c r="AB45" s="27"/>
      <c r="AC45" s="27"/>
      <c r="AD45" s="27"/>
      <c r="AE45" s="27"/>
      <c r="AF45" s="27"/>
      <c r="AG45" s="27"/>
      <c r="AH45" s="27"/>
    </row>
    <row r="46" spans="1:36" x14ac:dyDescent="0.2">
      <c r="B46" s="26"/>
      <c r="C46" s="46"/>
      <c r="D46" s="46"/>
      <c r="E46" s="46"/>
      <c r="F46" s="46"/>
      <c r="G46" s="46"/>
      <c r="H46" s="46"/>
      <c r="I46" s="46"/>
      <c r="J46" s="46"/>
      <c r="K46" s="46"/>
      <c r="L46" s="35"/>
      <c r="M46" s="35"/>
      <c r="N46" s="35"/>
      <c r="O46" s="30"/>
      <c r="P46" s="35"/>
      <c r="Q46" s="35"/>
      <c r="Y46" s="26"/>
      <c r="Z46" s="27"/>
      <c r="AA46" s="27"/>
      <c r="AB46" s="27"/>
      <c r="AC46" s="27"/>
      <c r="AD46" s="27"/>
      <c r="AE46" s="27"/>
      <c r="AF46" s="27"/>
      <c r="AG46" s="27"/>
      <c r="AH46" s="27"/>
    </row>
    <row r="47" spans="1:36" x14ac:dyDescent="0.2">
      <c r="B47" s="26"/>
      <c r="C47" s="46"/>
      <c r="D47" s="46"/>
      <c r="E47" s="46"/>
      <c r="F47" s="46"/>
      <c r="G47" s="46"/>
      <c r="H47" s="46"/>
      <c r="I47" s="46"/>
      <c r="J47" s="46"/>
      <c r="K47" s="46"/>
      <c r="L47" s="35"/>
      <c r="M47" s="35"/>
      <c r="N47" s="35"/>
      <c r="O47" s="30"/>
      <c r="P47" s="35"/>
      <c r="Q47" s="35"/>
      <c r="Y47" s="26"/>
      <c r="Z47" s="27"/>
      <c r="AA47" s="27"/>
      <c r="AB47" s="27"/>
      <c r="AC47" s="27"/>
      <c r="AD47" s="27"/>
      <c r="AE47" s="27"/>
      <c r="AF47" s="27"/>
      <c r="AG47" s="27"/>
      <c r="AH47" s="27"/>
    </row>
    <row r="48" spans="1:36" x14ac:dyDescent="0.2">
      <c r="B48" s="26"/>
      <c r="C48" s="46"/>
      <c r="D48" s="46"/>
      <c r="E48" s="46"/>
      <c r="F48" s="46"/>
      <c r="G48" s="46"/>
      <c r="H48" s="46"/>
      <c r="I48" s="46"/>
      <c r="J48" s="46"/>
      <c r="K48" s="46"/>
      <c r="L48" s="35"/>
      <c r="M48" s="35"/>
      <c r="N48" s="35"/>
      <c r="O48" s="30"/>
      <c r="P48" s="35"/>
      <c r="Q48" s="35"/>
      <c r="Y48" s="26"/>
      <c r="Z48" s="27"/>
      <c r="AA48" s="27"/>
      <c r="AB48" s="27"/>
      <c r="AC48" s="27"/>
      <c r="AD48" s="27"/>
      <c r="AE48" s="27"/>
      <c r="AF48" s="27"/>
      <c r="AG48" s="27"/>
      <c r="AH48" s="27"/>
    </row>
    <row r="49" spans="2:34" x14ac:dyDescent="0.2">
      <c r="B49" s="26"/>
      <c r="C49" s="46"/>
      <c r="D49" s="46"/>
      <c r="E49" s="46"/>
      <c r="F49" s="46"/>
      <c r="G49" s="46"/>
      <c r="H49" s="46"/>
      <c r="I49" s="46"/>
      <c r="J49" s="46"/>
      <c r="K49" s="46"/>
      <c r="L49" s="35"/>
      <c r="M49" s="35"/>
      <c r="N49" s="35"/>
      <c r="O49" s="30"/>
      <c r="P49" s="35"/>
      <c r="Q49" s="35"/>
      <c r="Y49" s="26"/>
      <c r="Z49" s="27"/>
      <c r="AA49" s="27"/>
      <c r="AB49" s="27"/>
      <c r="AC49" s="27"/>
      <c r="AD49" s="27"/>
      <c r="AE49" s="27"/>
      <c r="AF49" s="27"/>
      <c r="AG49" s="27"/>
      <c r="AH49" s="27"/>
    </row>
    <row r="50" spans="2:34" x14ac:dyDescent="0.2">
      <c r="B50" s="26"/>
      <c r="C50" s="30"/>
      <c r="D50" s="27"/>
      <c r="E50" s="30"/>
      <c r="F50" s="27"/>
      <c r="G50" s="30"/>
      <c r="H50" s="27"/>
      <c r="I50" s="30"/>
      <c r="J50" s="27"/>
      <c r="K50" s="46"/>
      <c r="L50" s="35"/>
      <c r="M50" s="35"/>
      <c r="N50" s="35"/>
      <c r="O50" s="30"/>
      <c r="P50" s="35"/>
      <c r="Q50" s="35"/>
      <c r="Y50" s="26"/>
      <c r="Z50" s="27"/>
      <c r="AA50" s="27"/>
      <c r="AB50" s="27"/>
      <c r="AC50" s="27"/>
      <c r="AD50" s="27"/>
      <c r="AE50" s="27"/>
      <c r="AF50" s="27"/>
      <c r="AG50" s="27"/>
      <c r="AH50" s="27"/>
    </row>
    <row r="51" spans="2:34" x14ac:dyDescent="0.2">
      <c r="B51" s="26"/>
      <c r="C51" s="46" t="s">
        <v>186</v>
      </c>
      <c r="D51" s="46" t="s">
        <v>378</v>
      </c>
      <c r="E51" s="46" t="s">
        <v>173</v>
      </c>
      <c r="F51" s="46" t="s">
        <v>380</v>
      </c>
      <c r="G51" s="46" t="s">
        <v>193</v>
      </c>
      <c r="H51" s="46" t="s">
        <v>379</v>
      </c>
      <c r="I51" s="46" t="s">
        <v>382</v>
      </c>
      <c r="J51" s="46" t="s">
        <v>198</v>
      </c>
      <c r="K51" s="46"/>
      <c r="L51" s="35"/>
      <c r="M51" s="35"/>
      <c r="N51" s="35"/>
      <c r="O51" s="30"/>
      <c r="P51" s="35"/>
      <c r="Q51" s="35"/>
      <c r="Y51" s="26"/>
      <c r="Z51" s="27"/>
      <c r="AA51" s="27"/>
      <c r="AB51" s="27"/>
      <c r="AC51" s="27"/>
      <c r="AD51" s="27"/>
      <c r="AE51" s="27"/>
      <c r="AF51" s="27"/>
      <c r="AG51" s="27"/>
      <c r="AH51" s="27"/>
    </row>
    <row r="52" spans="2:34" x14ac:dyDescent="0.2">
      <c r="B52" s="26"/>
      <c r="C52" s="46" t="s">
        <v>187</v>
      </c>
      <c r="D52" s="46" t="s">
        <v>189</v>
      </c>
      <c r="E52" s="46" t="s">
        <v>174</v>
      </c>
      <c r="F52" s="46" t="s">
        <v>191</v>
      </c>
      <c r="G52" s="46" t="s">
        <v>194</v>
      </c>
      <c r="H52" s="46" t="s">
        <v>196</v>
      </c>
      <c r="I52" s="46" t="s">
        <v>381</v>
      </c>
      <c r="J52" s="46" t="s">
        <v>199</v>
      </c>
      <c r="K52" s="46"/>
      <c r="L52" s="35"/>
      <c r="M52" s="35"/>
      <c r="N52" s="35"/>
      <c r="O52" s="30"/>
      <c r="P52" s="35"/>
      <c r="Q52" s="35"/>
      <c r="Y52" s="26"/>
      <c r="Z52" s="27"/>
      <c r="AA52" s="27"/>
      <c r="AB52" s="27"/>
      <c r="AC52" s="27"/>
      <c r="AD52" s="27"/>
      <c r="AE52" s="27"/>
      <c r="AF52" s="27"/>
      <c r="AG52" s="27"/>
      <c r="AH52" s="27"/>
    </row>
    <row r="53" spans="2:34" x14ac:dyDescent="0.2">
      <c r="B53" s="26"/>
      <c r="C53" s="46" t="s">
        <v>188</v>
      </c>
      <c r="D53" s="46" t="s">
        <v>190</v>
      </c>
      <c r="E53" s="46" t="s">
        <v>175</v>
      </c>
      <c r="F53" s="46" t="s">
        <v>192</v>
      </c>
      <c r="G53" s="46" t="s">
        <v>195</v>
      </c>
      <c r="H53" s="46" t="s">
        <v>197</v>
      </c>
      <c r="I53" s="46" t="s">
        <v>222</v>
      </c>
      <c r="J53" s="46" t="s">
        <v>200</v>
      </c>
      <c r="K53" s="46"/>
      <c r="L53" s="35"/>
      <c r="M53" s="35"/>
      <c r="N53" s="35"/>
      <c r="O53" s="30"/>
      <c r="P53" s="35"/>
      <c r="Q53" s="35"/>
      <c r="Y53" s="26"/>
      <c r="Z53" s="27"/>
      <c r="AA53" s="27"/>
      <c r="AB53" s="27"/>
      <c r="AC53" s="27"/>
      <c r="AD53" s="27"/>
      <c r="AE53" s="27"/>
      <c r="AF53" s="27"/>
      <c r="AG53" s="27"/>
      <c r="AH53" s="27"/>
    </row>
    <row r="54" spans="2:34" x14ac:dyDescent="0.2">
      <c r="B54" s="26"/>
      <c r="C54" s="46"/>
      <c r="D54" s="46"/>
      <c r="E54" s="46" t="s">
        <v>176</v>
      </c>
      <c r="F54" s="46"/>
      <c r="G54" s="46"/>
      <c r="H54" s="46"/>
      <c r="I54" s="46"/>
      <c r="J54" s="46"/>
      <c r="K54" s="46"/>
      <c r="L54" s="35"/>
      <c r="M54" s="35"/>
      <c r="N54" s="35"/>
      <c r="O54" s="30"/>
      <c r="P54" s="35"/>
      <c r="Q54" s="35"/>
      <c r="U54" s="618"/>
      <c r="V54" s="617"/>
      <c r="Y54" s="26"/>
      <c r="Z54" s="27"/>
      <c r="AA54" s="27"/>
      <c r="AB54" s="27"/>
      <c r="AC54" s="27"/>
      <c r="AD54" s="27"/>
      <c r="AE54" s="27"/>
      <c r="AF54" s="27"/>
      <c r="AG54" s="27"/>
      <c r="AH54" s="27"/>
    </row>
    <row r="55" spans="2:34" x14ac:dyDescent="0.2">
      <c r="B55" s="26"/>
      <c r="C55" s="46"/>
      <c r="D55" s="46"/>
      <c r="E55" s="46"/>
      <c r="F55" s="46"/>
      <c r="G55" s="46"/>
      <c r="H55" s="46"/>
      <c r="I55" s="46"/>
      <c r="J55" s="46"/>
      <c r="K55" s="46"/>
      <c r="L55" s="35"/>
      <c r="M55" s="35"/>
      <c r="N55" s="35"/>
      <c r="O55" s="30"/>
      <c r="P55" s="35"/>
      <c r="Q55" s="35"/>
      <c r="Y55" s="26"/>
      <c r="Z55" s="27"/>
      <c r="AA55" s="27"/>
      <c r="AB55" s="27"/>
      <c r="AC55" s="27"/>
      <c r="AD55" s="27"/>
      <c r="AE55" s="27"/>
      <c r="AF55" s="27"/>
      <c r="AG55" s="27"/>
      <c r="AH55" s="27"/>
    </row>
    <row r="56" spans="2:34" x14ac:dyDescent="0.2">
      <c r="B56" s="26"/>
      <c r="C56" s="46"/>
      <c r="D56" s="46"/>
      <c r="E56" s="46"/>
      <c r="F56" s="46"/>
      <c r="G56" s="46"/>
      <c r="H56" s="46"/>
      <c r="I56" s="46"/>
      <c r="J56" s="46"/>
      <c r="K56" s="46"/>
      <c r="L56" s="35"/>
      <c r="M56" s="35"/>
      <c r="N56" s="35"/>
      <c r="O56" s="30"/>
      <c r="P56" s="35"/>
      <c r="Q56" s="35"/>
      <c r="Y56" s="26"/>
      <c r="Z56" s="27"/>
      <c r="AA56" s="27"/>
      <c r="AB56" s="27"/>
      <c r="AC56" s="27"/>
      <c r="AD56" s="27"/>
      <c r="AE56" s="27"/>
      <c r="AF56" s="27"/>
      <c r="AG56" s="27"/>
      <c r="AH56" s="27"/>
    </row>
    <row r="57" spans="2:34" x14ac:dyDescent="0.2">
      <c r="B57" s="26"/>
      <c r="C57" s="46"/>
      <c r="D57" s="46"/>
      <c r="E57" s="46"/>
      <c r="F57" s="46"/>
      <c r="G57" s="46"/>
      <c r="H57" s="46"/>
      <c r="I57" s="46"/>
      <c r="J57" s="46"/>
      <c r="K57" s="46"/>
      <c r="L57" s="35"/>
      <c r="M57" s="35"/>
      <c r="N57" s="35"/>
      <c r="O57" s="30"/>
      <c r="P57" s="35"/>
      <c r="Q57" s="35"/>
      <c r="Y57" s="26"/>
      <c r="Z57" s="27"/>
      <c r="AA57" s="27"/>
      <c r="AB57" s="27"/>
      <c r="AC57" s="27"/>
      <c r="AD57" s="27"/>
      <c r="AE57" s="27"/>
      <c r="AF57" s="27"/>
      <c r="AG57" s="27"/>
      <c r="AH57" s="27"/>
    </row>
    <row r="58" spans="2:34" x14ac:dyDescent="0.2">
      <c r="B58" s="26"/>
      <c r="C58" s="46"/>
      <c r="D58" s="46"/>
      <c r="E58" s="46"/>
      <c r="F58" s="46"/>
      <c r="G58" s="46"/>
      <c r="H58" s="46"/>
      <c r="I58" s="46"/>
      <c r="J58" s="46"/>
      <c r="K58" s="46"/>
      <c r="L58" s="35"/>
      <c r="M58" s="35"/>
      <c r="N58" s="35"/>
      <c r="O58" s="30"/>
      <c r="P58" s="35"/>
      <c r="Q58" s="35"/>
      <c r="Y58" s="26"/>
      <c r="Z58" s="27"/>
      <c r="AA58" s="27"/>
      <c r="AB58" s="27"/>
      <c r="AC58" s="27"/>
      <c r="AD58" s="27"/>
      <c r="AE58" s="27"/>
      <c r="AF58" s="27"/>
      <c r="AG58" s="27"/>
      <c r="AH58" s="27"/>
    </row>
    <row r="59" spans="2:34" x14ac:dyDescent="0.2">
      <c r="B59" s="26"/>
      <c r="C59" s="46"/>
      <c r="D59" s="46"/>
      <c r="E59" s="46"/>
      <c r="F59" s="46"/>
      <c r="G59" s="46"/>
      <c r="H59" s="46"/>
      <c r="I59" s="46"/>
      <c r="J59" s="46"/>
      <c r="K59" s="46"/>
      <c r="L59" s="35"/>
      <c r="M59" s="35"/>
      <c r="N59" s="35"/>
      <c r="O59" s="30"/>
      <c r="P59" s="35"/>
      <c r="Q59" s="35"/>
      <c r="Y59" s="26"/>
      <c r="Z59" s="27"/>
      <c r="AA59" s="27"/>
      <c r="AB59" s="27"/>
      <c r="AC59" s="27"/>
      <c r="AD59" s="27"/>
      <c r="AE59" s="27"/>
      <c r="AF59" s="27"/>
      <c r="AG59" s="27"/>
      <c r="AH59" s="27"/>
    </row>
    <row r="60" spans="2:34" x14ac:dyDescent="0.2">
      <c r="B60" s="26"/>
      <c r="C60" s="46"/>
      <c r="D60" s="46"/>
      <c r="E60" s="46"/>
      <c r="F60" s="46"/>
      <c r="G60" s="46"/>
      <c r="H60" s="46"/>
      <c r="I60" s="46"/>
      <c r="J60" s="46"/>
      <c r="K60" s="46"/>
      <c r="L60" s="35"/>
      <c r="M60" s="35"/>
      <c r="N60" s="35"/>
      <c r="O60" s="30"/>
      <c r="P60" s="35"/>
      <c r="Q60" s="35"/>
      <c r="Y60" s="26"/>
      <c r="Z60" s="27"/>
      <c r="AA60" s="27"/>
      <c r="AB60" s="27"/>
      <c r="AC60" s="27"/>
      <c r="AD60" s="27"/>
      <c r="AE60" s="27"/>
      <c r="AF60" s="27"/>
      <c r="AG60" s="27"/>
      <c r="AH60" s="27"/>
    </row>
    <row r="61" spans="2:34" x14ac:dyDescent="0.2">
      <c r="B61" s="26"/>
      <c r="C61" s="46"/>
      <c r="D61" s="46"/>
      <c r="E61" s="46"/>
      <c r="F61" s="46"/>
      <c r="G61" s="46"/>
      <c r="H61" s="46"/>
      <c r="I61" s="46"/>
      <c r="J61" s="46"/>
      <c r="K61" s="46"/>
      <c r="L61" s="35"/>
      <c r="M61" s="35"/>
      <c r="N61" s="35"/>
      <c r="O61" s="30"/>
      <c r="P61" s="35"/>
      <c r="Q61" s="35"/>
      <c r="Y61" s="26"/>
      <c r="Z61" s="27"/>
      <c r="AA61" s="27"/>
      <c r="AB61" s="27"/>
      <c r="AC61" s="27"/>
      <c r="AD61" s="27"/>
      <c r="AE61" s="27"/>
      <c r="AF61" s="27"/>
      <c r="AG61" s="27"/>
      <c r="AH61" s="27"/>
    </row>
    <row r="62" spans="2:34" x14ac:dyDescent="0.2">
      <c r="B62" s="26"/>
      <c r="C62" s="46"/>
      <c r="D62" s="46"/>
      <c r="E62" s="46"/>
      <c r="F62" s="46"/>
      <c r="G62" s="46"/>
      <c r="H62" s="46"/>
      <c r="I62" s="46"/>
      <c r="J62" s="46"/>
      <c r="K62" s="46"/>
      <c r="L62" s="35"/>
      <c r="M62" s="35"/>
      <c r="N62" s="35"/>
      <c r="O62" s="30"/>
      <c r="P62" s="35"/>
      <c r="Q62" s="35"/>
      <c r="Y62" s="26"/>
      <c r="Z62" s="27"/>
      <c r="AA62" s="27"/>
      <c r="AB62" s="27"/>
      <c r="AC62" s="27"/>
      <c r="AD62" s="27"/>
      <c r="AE62" s="27"/>
      <c r="AF62" s="27"/>
      <c r="AG62" s="27"/>
      <c r="AH62" s="27"/>
    </row>
    <row r="63" spans="2:34" x14ac:dyDescent="0.2">
      <c r="B63" s="26"/>
      <c r="C63" s="46"/>
      <c r="D63" s="46"/>
      <c r="E63" s="46"/>
      <c r="F63" s="46"/>
      <c r="G63" s="46"/>
      <c r="H63" s="46"/>
      <c r="I63" s="46"/>
      <c r="J63" s="46"/>
      <c r="K63" s="46"/>
      <c r="L63" s="35"/>
      <c r="M63" s="35"/>
      <c r="N63" s="35"/>
      <c r="O63" s="30"/>
      <c r="P63" s="35"/>
      <c r="Q63" s="35"/>
      <c r="Y63" s="26"/>
      <c r="Z63" s="27"/>
      <c r="AA63" s="27"/>
      <c r="AB63" s="27"/>
      <c r="AC63" s="27"/>
      <c r="AD63" s="27"/>
      <c r="AE63" s="27"/>
      <c r="AF63" s="27"/>
      <c r="AG63" s="27"/>
      <c r="AH63" s="27"/>
    </row>
    <row r="64" spans="2:34" x14ac:dyDescent="0.2">
      <c r="B64" s="26"/>
      <c r="C64" s="30">
        <f>IF(DENDRO_IndexSoftware&lt;=DENDRO_UpgradeNModels,DENDRO_IndexSoftware,DENDRO_IndexSoftware-DENDRO_UpgradeNModels)</f>
        <v>2</v>
      </c>
      <c r="D64" s="27">
        <f t="shared" ref="D64:J64" si="3">IF(D5&lt;=D28,D5,D5-D28)</f>
        <v>2</v>
      </c>
      <c r="E64" s="30">
        <f t="shared" si="3"/>
        <v>3</v>
      </c>
      <c r="F64" s="27">
        <f t="shared" si="3"/>
        <v>2</v>
      </c>
      <c r="G64" s="30">
        <f t="shared" si="3"/>
        <v>2</v>
      </c>
      <c r="H64" s="27">
        <f t="shared" si="3"/>
        <v>2</v>
      </c>
      <c r="I64" s="30">
        <f t="shared" si="3"/>
        <v>2</v>
      </c>
      <c r="J64" s="27">
        <f t="shared" si="3"/>
        <v>2</v>
      </c>
      <c r="K64" s="30"/>
      <c r="L64" s="35"/>
      <c r="M64" s="35"/>
      <c r="N64" s="35"/>
      <c r="O64" s="30"/>
      <c r="P64" s="35"/>
      <c r="Q64" s="35"/>
      <c r="R64" s="27"/>
      <c r="S64" s="27"/>
      <c r="T64" s="27"/>
      <c r="U64" s="27"/>
      <c r="V64" s="27"/>
      <c r="W64" s="27"/>
      <c r="X64" s="27"/>
    </row>
    <row r="65" spans="2:24" ht="17" thickBot="1" x14ac:dyDescent="0.25">
      <c r="B65" s="466"/>
      <c r="C65" s="467">
        <f t="shared" ref="C65:J65" si="4">IF(C25&lt;=C28,C25,C25-C28)</f>
        <v>2</v>
      </c>
      <c r="D65" s="468">
        <f t="shared" si="4"/>
        <v>2</v>
      </c>
      <c r="E65" s="467">
        <f t="shared" si="4"/>
        <v>2</v>
      </c>
      <c r="F65" s="468">
        <f t="shared" si="4"/>
        <v>1</v>
      </c>
      <c r="G65" s="467">
        <f t="shared" si="4"/>
        <v>2</v>
      </c>
      <c r="H65" s="468">
        <f t="shared" si="4"/>
        <v>1</v>
      </c>
      <c r="I65" s="467">
        <f t="shared" si="4"/>
        <v>1</v>
      </c>
      <c r="J65" s="468">
        <f t="shared" si="4"/>
        <v>2</v>
      </c>
      <c r="K65" s="467"/>
      <c r="L65" s="469"/>
      <c r="M65" s="35"/>
      <c r="N65" s="35"/>
      <c r="O65" s="30" t="str">
        <f>TableClientButtons[[#Headers],[Column14]]</f>
        <v>Column14</v>
      </c>
      <c r="P65" s="35" t="str">
        <f>TableClientButtons[[#Headers],[Column15]]</f>
        <v>Column15</v>
      </c>
      <c r="Q65" s="35"/>
      <c r="R65" s="27"/>
      <c r="S65" s="27"/>
      <c r="T65" s="27"/>
      <c r="U65" s="27"/>
      <c r="V65" s="27"/>
      <c r="W65" s="27"/>
      <c r="X65" s="27"/>
    </row>
    <row r="66" spans="2:24" x14ac:dyDescent="0.2">
      <c r="B66" s="26"/>
      <c r="C66" s="30">
        <f>IF(AND(C32=FALSE(),C4=1,C33=TRUE()),C36-1,0)</f>
        <v>0</v>
      </c>
      <c r="D66" s="27" t="s">
        <v>252</v>
      </c>
      <c r="E66" s="30">
        <f>IF(AND(E32=FALSE(),E4=1,E33=TRUE()),E36-1,0)</f>
        <v>0</v>
      </c>
      <c r="F66" s="27" t="s">
        <v>252</v>
      </c>
      <c r="G66" s="30">
        <f>IF(AND(G32=FALSE(),G4=1,G33=TRUE()),G36-1,0)</f>
        <v>0</v>
      </c>
      <c r="H66" s="30">
        <f>IF(AND(H32=FALSE(),H4=1,H33=TRUE()),H36-1,0)</f>
        <v>0</v>
      </c>
      <c r="I66" s="30">
        <f>IF(AND(I32=FALSE(),I4=1,I33=TRUE()),I36-1,0)</f>
        <v>0</v>
      </c>
      <c r="J66" s="27" t="s">
        <v>252</v>
      </c>
      <c r="K66" s="30" t="s">
        <v>739</v>
      </c>
      <c r="L66" s="30">
        <v>11</v>
      </c>
      <c r="M66" s="35">
        <f>SUM(TableClientButtons[[#This Row],[Column2]:[Column9]])</f>
        <v>0</v>
      </c>
      <c r="N66" s="35" t="str">
        <f>IF(TableClientButtons[[#This Row],[Column12]]&gt;0,IF(TableClientButtons[[#This Row],[Column12]]&gt;1,TableClientButtons[[#This Row],[Column12]]&amp;"*","")&amp;TableClientButtons[[#This Row],[Column10]]&amp; " ","")</f>
        <v/>
      </c>
      <c r="O66" s="35">
        <f>TableClientButtons[[#This Row],[Column12]]</f>
        <v>0</v>
      </c>
      <c r="P66" s="35">
        <f>INDEX('Ship$'!D25:Y25,1,SHIP_Country_Index)*SHIP_CurrencyTaux</f>
        <v>153.91999999999999</v>
      </c>
      <c r="Q66" s="35"/>
      <c r="R66" s="27"/>
      <c r="S66" s="27"/>
      <c r="T66" s="27"/>
      <c r="U66" s="27"/>
      <c r="V66" s="27"/>
      <c r="W66" s="27"/>
      <c r="X66" s="27"/>
    </row>
    <row r="67" spans="2:24" x14ac:dyDescent="0.2">
      <c r="B67" s="26"/>
      <c r="C67" s="30">
        <f>IF(AND(C32=FALSE(),C4=2,C33=TRUE()),C36-1,0)</f>
        <v>0</v>
      </c>
      <c r="D67" s="27"/>
      <c r="E67" s="30">
        <f>IF(AND(E32=FALSE(),E4=2,E33=TRUE()),E36-1,0)</f>
        <v>0</v>
      </c>
      <c r="F67" s="27"/>
      <c r="G67" s="30">
        <f>IF(AND(G32=FALSE(),G4=2,G33=TRUE()),G36-1,0)</f>
        <v>0</v>
      </c>
      <c r="H67" s="30">
        <f>IF(AND(H32=FALSE(),H4=2,H33=TRUE()),H36-1,0)</f>
        <v>0</v>
      </c>
      <c r="I67" s="30">
        <f>IF(AND(I32=FALSE(),I4=2,I33=TRUE()),I36-1,0)</f>
        <v>0</v>
      </c>
      <c r="J67" s="27"/>
      <c r="K67" s="30" t="s">
        <v>737</v>
      </c>
      <c r="L67" s="30">
        <v>28</v>
      </c>
      <c r="M67" s="35">
        <f>SUM(TableClientButtons[[#This Row],[Column2]:[Column9]])</f>
        <v>0</v>
      </c>
      <c r="N67" s="35" t="str">
        <f>IF(TableClientButtons[[#This Row],[Column12]]&gt;0,IF(TableClientButtons[[#This Row],[Column12]]&gt;1,TableClientButtons[[#This Row],[Column12]]&amp;"*","")&amp;TableClientButtons[[#This Row],[Column10]]&amp; " ","")</f>
        <v/>
      </c>
      <c r="O67" s="35">
        <f>TableClientButtons[[#This Row],[Column12]]</f>
        <v>0</v>
      </c>
      <c r="P67" s="35">
        <f>INDEX('Ship$'!D26:Y26,1,SHIP_Country_Index)*SHIP_CurrencyTaux</f>
        <v>197.57999999999998</v>
      </c>
      <c r="Q67" s="35"/>
      <c r="R67" s="27"/>
      <c r="S67" s="27"/>
      <c r="T67" s="27"/>
      <c r="U67" s="27"/>
      <c r="V67" s="27"/>
      <c r="W67" s="27"/>
      <c r="X67" s="27"/>
    </row>
    <row r="68" spans="2:24" x14ac:dyDescent="0.2">
      <c r="B68" s="26"/>
      <c r="C68" s="30">
        <f>IF(AND(C32=TRUE(),C4=1),C36-1,0)</f>
        <v>0</v>
      </c>
      <c r="D68" s="27"/>
      <c r="E68" s="30">
        <f>IF(AND(E32=TRUE(),E4=1),E36-1,0)</f>
        <v>0</v>
      </c>
      <c r="F68" s="27"/>
      <c r="G68" s="30">
        <f>IF(AND(G32=TRUE(),G4=1),G36-1,0)</f>
        <v>0</v>
      </c>
      <c r="H68" s="30">
        <f>IF(AND(H32=TRUE(),H4=1),H36-1,0)</f>
        <v>0</v>
      </c>
      <c r="I68" s="30">
        <f>IF(AND(I32=TRUE(),I4=1),I36-1,0)</f>
        <v>0</v>
      </c>
      <c r="J68" s="27"/>
      <c r="K68" s="30" t="s">
        <v>244</v>
      </c>
      <c r="L68" s="30">
        <v>45</v>
      </c>
      <c r="M68" s="35">
        <f>SUM(TableClientButtons[[#This Row],[Column2]:[Column9]])</f>
        <v>0</v>
      </c>
      <c r="N68" s="35" t="str">
        <f>IF(TableClientButtons[[#This Row],[Column12]]&gt;0,IF(TableClientButtons[[#This Row],[Column12]]&gt;1,TableClientButtons[[#This Row],[Column12]]&amp;"*","")&amp;TableClientButtons[[#This Row],[Column10]]&amp; " ","")</f>
        <v/>
      </c>
      <c r="O68" s="35">
        <f>TableClientButtons[[#This Row],[Column12]]</f>
        <v>0</v>
      </c>
      <c r="P68" s="35">
        <f>INDEX('Ship$'!D13:Y13,1,SHIP_Country_Index)*SHIP_CurrencyTaux</f>
        <v>342.62</v>
      </c>
      <c r="Q68" s="35"/>
      <c r="R68" s="27"/>
      <c r="S68" s="27"/>
      <c r="T68" s="27"/>
      <c r="U68" s="27"/>
      <c r="V68" s="27"/>
      <c r="W68" s="27"/>
      <c r="X68" s="27"/>
    </row>
    <row r="69" spans="2:24" x14ac:dyDescent="0.2">
      <c r="B69"/>
      <c r="C69"/>
      <c r="D69"/>
      <c r="E69"/>
      <c r="F69"/>
      <c r="G69"/>
      <c r="H69"/>
      <c r="I69"/>
      <c r="J69"/>
      <c r="K69" t="s">
        <v>738</v>
      </c>
      <c r="L69" s="17">
        <v>1</v>
      </c>
      <c r="M69">
        <f>IF(AND(N_Soft_Upd_Upg_Total&gt;0,N_OptionsTotal+N_SystemTotal=0),INT(N_Soft_Upd_Upg_Total/6+1),0)</f>
        <v>0</v>
      </c>
      <c r="N69" s="35" t="str">
        <f>IF(TableClientButtons[[#This Row],[Column12]]&gt;0,IF(TableClientButtons[[#This Row],[Column12]]&gt;1,TableClientButtons[[#This Row],[Column12]]&amp;"*","")&amp;TableClientButtons[[#This Row],[Column10]]&amp; " ","")</f>
        <v/>
      </c>
      <c r="O69" s="35"/>
      <c r="P69" s="35"/>
      <c r="Q69" s="35"/>
      <c r="R69" s="27"/>
      <c r="S69" s="27"/>
      <c r="T69" s="27"/>
      <c r="U69" s="27"/>
      <c r="V69" s="27"/>
      <c r="W69" s="27"/>
      <c r="X69" s="27"/>
    </row>
    <row r="70" spans="2:24" x14ac:dyDescent="0.2">
      <c r="B70"/>
      <c r="C70"/>
      <c r="D70"/>
      <c r="E70"/>
      <c r="F70"/>
      <c r="G70"/>
      <c r="H70"/>
      <c r="I70"/>
      <c r="J70"/>
      <c r="K70"/>
      <c r="L70"/>
      <c r="M70"/>
      <c r="N70" s="35" t="str">
        <f>IF(TableClientButtons[[#This Row],[Column12]]&gt;0,IF(TableClientButtons[[#This Row],[Column12]]&gt;1,TableClientButtons[[#This Row],[Column12]]&amp;"*","")&amp;TableClientButtons[[#This Row],[Column10]]&amp; " ","")</f>
        <v/>
      </c>
      <c r="O70" s="35"/>
      <c r="P70" s="35"/>
      <c r="Q70" s="35"/>
      <c r="R70" s="27"/>
      <c r="S70" s="27"/>
      <c r="T70" s="27"/>
      <c r="U70" s="27"/>
      <c r="V70" s="27"/>
      <c r="W70" s="27"/>
      <c r="X70" s="27"/>
    </row>
    <row r="71" spans="2:24" x14ac:dyDescent="0.2">
      <c r="B71" s="26"/>
      <c r="C71" s="30">
        <f>IF(AND(C32=TRUE(),C4=2),C36-1,0)</f>
        <v>0</v>
      </c>
      <c r="D71" s="27"/>
      <c r="E71" s="30">
        <f>IF(AND(E32=TRUE(),E4=2),E36-1,0)</f>
        <v>0</v>
      </c>
      <c r="F71" s="27"/>
      <c r="G71" s="30">
        <f>IF(AND(G32=TRUE(),G4=2),G36-1,0)</f>
        <v>0</v>
      </c>
      <c r="H71" s="30">
        <f>IF(AND(H32=TRUE(),H4=2),H36-1,0)</f>
        <v>0</v>
      </c>
      <c r="I71" s="30">
        <f>IF(AND(I32=TRUE(),I4=2),I36-1,0)</f>
        <v>0</v>
      </c>
      <c r="J71" s="27"/>
      <c r="K71" s="471" t="s">
        <v>245</v>
      </c>
      <c r="L71" s="471">
        <v>73</v>
      </c>
      <c r="M71" s="35">
        <f>SUM(TableClientButtons[[#This Row],[Column2]:[Column9]])</f>
        <v>0</v>
      </c>
      <c r="N71" s="35" t="str">
        <f>IF(TableClientButtons[[#This Row],[Column12]]&gt;0,IF(TableClientButtons[[#This Row],[Column12]]&gt;1,TableClientButtons[[#This Row],[Column12]]&amp;"*","")&amp;TableClientButtons[[#This Row],[Column10]]&amp; " ","")</f>
        <v/>
      </c>
      <c r="O71" s="675">
        <f>IF(TableClientButtons[[#This Row],[Column12]]-M72&lt;0,0,TableClientButtons[[#This Row],[Column12]]-M72)+N("Normalement pas de vente de TPU seuls")</f>
        <v>0</v>
      </c>
      <c r="P71" s="35">
        <f>INDEX('Ship$'!D16:Y16,1,SHIP_Country_Index)*SHIP_CurrencyTaux</f>
        <v>592</v>
      </c>
      <c r="Q71" s="35"/>
      <c r="R71" s="27"/>
      <c r="S71" s="27"/>
      <c r="T71" s="27"/>
      <c r="U71" s="27"/>
      <c r="V71" s="27"/>
      <c r="W71" s="27"/>
      <c r="X71" s="27"/>
    </row>
    <row r="72" spans="2:24" x14ac:dyDescent="0.2">
      <c r="B72" s="465"/>
      <c r="C72" s="30">
        <f>IF(C71&gt;0,C7-1,0)</f>
        <v>0</v>
      </c>
      <c r="D72" s="27"/>
      <c r="E72" s="470">
        <f>E71</f>
        <v>0</v>
      </c>
      <c r="F72" s="27"/>
      <c r="G72" s="30">
        <f>IF(G71&gt;0,G7-1,0)</f>
        <v>0</v>
      </c>
      <c r="H72" s="470">
        <f>H71</f>
        <v>0</v>
      </c>
      <c r="I72" s="30">
        <f>IF(I71&gt;0,I7-1,0)</f>
        <v>0</v>
      </c>
      <c r="J72" s="27"/>
      <c r="K72" s="30" t="s">
        <v>246</v>
      </c>
      <c r="L72" s="30">
        <v>62</v>
      </c>
      <c r="M72" s="35">
        <f>SUM(TableClientButtons[[#This Row],[Column2]:[Column9]])</f>
        <v>0</v>
      </c>
      <c r="N72" s="35" t="str">
        <f>IF(TableClientButtons[[#This Row],[Column12]]&gt;0,IF(TableClientButtons[[#This Row],[Column12]]&gt;1,TableClientButtons[[#This Row],[Column12]]&amp;"*","")&amp;TableClientButtons[[#This Row],[Column10]]&amp; " ","")</f>
        <v/>
      </c>
      <c r="O72" s="678">
        <f>MIN(TableClientButtons[[#This Row],[Column12]],M71)+N("NE pas compter les TPU &gt; Scanners")</f>
        <v>0</v>
      </c>
      <c r="P72" s="35">
        <f>INDEX('Ship$'!D15:Y15,1,SHIP_Country_Index)*SHIP_CurrencyTaux</f>
        <v>948.68</v>
      </c>
      <c r="Q72" s="35"/>
      <c r="R72" s="27"/>
      <c r="S72" s="27"/>
      <c r="T72" s="27"/>
      <c r="U72" s="27"/>
      <c r="V72" s="27"/>
      <c r="W72" s="27"/>
      <c r="X72" s="27"/>
    </row>
    <row r="73" spans="2:24" x14ac:dyDescent="0.2">
      <c r="B73" s="26"/>
      <c r="C73" s="30"/>
      <c r="D73" s="27"/>
      <c r="E73" s="30"/>
      <c r="F73" s="27"/>
      <c r="G73" s="75">
        <f>IF(AND(G32=TRUE(),G4=3),G36-1,0)</f>
        <v>0</v>
      </c>
      <c r="H73" s="27"/>
      <c r="I73" s="75">
        <f>IF(AND(I32=TRUE(),I4=3),I36-1,0)</f>
        <v>0</v>
      </c>
      <c r="J73" s="27"/>
      <c r="K73" s="30" t="s">
        <v>247</v>
      </c>
      <c r="L73" s="30">
        <v>16</v>
      </c>
      <c r="M73" s="35">
        <f>SUM(TableClientButtons[[#This Row],[Column2]:[Column9]])</f>
        <v>0</v>
      </c>
      <c r="N73" s="35" t="str">
        <f>IF(TableClientButtons[[#This Row],[Column12]]&gt;0,IF(TableClientButtons[[#This Row],[Column12]]&gt;1,TableClientButtons[[#This Row],[Column12]]&amp;"*","")&amp;TableClientButtons[[#This Row],[Column10]]&amp; " ","")</f>
        <v/>
      </c>
      <c r="O73" s="35">
        <f>TableClientButtons[[#This Row],[Column12]]</f>
        <v>0</v>
      </c>
      <c r="P73" s="35">
        <f>P66</f>
        <v>153.91999999999999</v>
      </c>
      <c r="Q73" s="35"/>
      <c r="R73" s="27"/>
      <c r="S73" s="27"/>
      <c r="T73" s="27"/>
      <c r="U73" s="27"/>
      <c r="V73" s="27"/>
      <c r="W73" s="27"/>
      <c r="X73" s="27"/>
    </row>
    <row r="74" spans="2:24" x14ac:dyDescent="0.2">
      <c r="B74" s="26"/>
      <c r="C74" s="30"/>
      <c r="D74" s="27"/>
      <c r="E74" s="30"/>
      <c r="F74" s="27"/>
      <c r="G74" s="75">
        <f>IF(AND(G32=FALSE(),G4=3,G33=TRUE()),G36-1,0)</f>
        <v>0</v>
      </c>
      <c r="H74" s="27"/>
      <c r="I74" s="75">
        <f>IF(AND(I32=FALSE(),I4=3,I33=TRUE()),I36-1,0)</f>
        <v>0</v>
      </c>
      <c r="J74" s="27"/>
      <c r="K74" s="30" t="s">
        <v>338</v>
      </c>
      <c r="L74" s="30" t="s">
        <v>254</v>
      </c>
      <c r="M74" s="35">
        <f>SUM(TableClientButtons[[#This Row],[Column2]:[Column9]])</f>
        <v>0</v>
      </c>
      <c r="N74" s="35" t="str">
        <f>IF(TableClientButtons[[#This Row],[Column12]]&gt;0,IF(TableClientButtons[[#This Row],[Column12]]&gt;1,TableClientButtons[[#This Row],[Column12]]&amp;"*","")&amp;TableClientButtons[[#This Row],[Column10]]&amp; " ","")</f>
        <v/>
      </c>
      <c r="O74" s="35">
        <f>TableClientButtons[[#This Row],[Column12]]</f>
        <v>0</v>
      </c>
      <c r="P74" s="673">
        <v>0</v>
      </c>
      <c r="Q74" s="35"/>
      <c r="R74" s="27"/>
      <c r="S74" s="27"/>
      <c r="T74" s="27"/>
      <c r="U74" s="27"/>
      <c r="V74" s="27"/>
      <c r="W74" s="27"/>
      <c r="X74" s="27"/>
    </row>
    <row r="75" spans="2:24" x14ac:dyDescent="0.2">
      <c r="B75" s="26"/>
      <c r="C75" s="30"/>
      <c r="D75" s="27"/>
      <c r="E75" s="30"/>
      <c r="F75" s="27"/>
      <c r="G75" s="75">
        <f>G14-1</f>
        <v>0</v>
      </c>
      <c r="H75" s="27"/>
      <c r="I75" s="75">
        <f>I14-1</f>
        <v>0</v>
      </c>
      <c r="J75" s="27"/>
      <c r="K75" s="30" t="s">
        <v>247</v>
      </c>
      <c r="L75" s="30">
        <v>16</v>
      </c>
      <c r="M75" s="35">
        <f>SUM(TableClientButtons[[#This Row],[Column2]:[Column9]])</f>
        <v>0</v>
      </c>
      <c r="N75" s="35" t="str">
        <f>IF(TableClientButtons[[#This Row],[Column12]]&gt;0,IF(TableClientButtons[[#This Row],[Column12]]&gt;1,TableClientButtons[[#This Row],[Column12]]&amp;"*","")&amp;TableClientButtons[[#This Row],[Column10]]&amp; " ","")</f>
        <v/>
      </c>
      <c r="O75" s="35">
        <f>TableClientButtons[[#This Row],[Column12]]</f>
        <v>0</v>
      </c>
      <c r="P75" s="35">
        <f>P66</f>
        <v>153.91999999999999</v>
      </c>
      <c r="Q75" s="35"/>
      <c r="R75" s="27" t="s">
        <v>726</v>
      </c>
      <c r="S75" s="27"/>
      <c r="T75" s="27"/>
      <c r="U75" s="27"/>
      <c r="V75" s="27"/>
      <c r="W75" s="27"/>
      <c r="X75" s="27"/>
    </row>
    <row r="76" spans="2:24" x14ac:dyDescent="0.2">
      <c r="B76" s="26"/>
      <c r="C76" s="30"/>
      <c r="D76" s="27"/>
      <c r="E76" s="30"/>
      <c r="F76" s="27"/>
      <c r="G76" s="75">
        <f>G15-1</f>
        <v>0</v>
      </c>
      <c r="H76" s="27"/>
      <c r="I76" s="75">
        <f>I15-1</f>
        <v>0</v>
      </c>
      <c r="J76" s="27"/>
      <c r="K76" s="30" t="s">
        <v>249</v>
      </c>
      <c r="L76" s="30">
        <v>50</v>
      </c>
      <c r="M76" s="35">
        <f>SUM(TableClientButtons[[#This Row],[Column2]:[Column9]])</f>
        <v>0</v>
      </c>
      <c r="N76" s="35" t="str">
        <f>IF(TableClientButtons[[#This Row],[Column12]]&gt;0,IF(TableClientButtons[[#This Row],[Column12]]&gt;1,TableClientButtons[[#This Row],[Column12]]&amp;"*","")&amp;TableClientButtons[[#This Row],[Column10]]&amp; " ","")</f>
        <v/>
      </c>
      <c r="O76" s="35">
        <f>TableClientButtons[[#This Row],[Column12]]</f>
        <v>0</v>
      </c>
      <c r="P76" s="35">
        <f>INDEX('Ship$'!D28:Y28,1,SHIP_Country_Index)*SHIP_CurrencyTaux</f>
        <v>329.3</v>
      </c>
      <c r="Q76" s="35"/>
      <c r="R76" s="27"/>
      <c r="S76" s="27"/>
      <c r="T76" s="27"/>
      <c r="U76" s="27"/>
      <c r="V76" s="27"/>
      <c r="W76" s="27"/>
      <c r="X76" s="27"/>
    </row>
    <row r="77" spans="2:24" x14ac:dyDescent="0.2">
      <c r="B77" s="26"/>
      <c r="C77" s="30"/>
      <c r="D77" s="27"/>
      <c r="E77" s="30"/>
      <c r="F77" s="27"/>
      <c r="G77" s="75">
        <f>IF(G$4=1,G$16-1,0)</f>
        <v>0</v>
      </c>
      <c r="H77" s="27"/>
      <c r="I77" s="75">
        <f>IF(I$4=1,I$16-1,0)</f>
        <v>0</v>
      </c>
      <c r="J77" s="27"/>
      <c r="K77" s="30"/>
      <c r="L77" s="30"/>
      <c r="M77" s="35"/>
      <c r="N77" s="35" t="str">
        <f>IF(TableClientButtons[[#This Row],[Column12]]&gt;0,IF(TableClientButtons[[#This Row],[Column12]]&gt;1,TableClientButtons[[#This Row],[Column12]]&amp;"*","")&amp;TableClientButtons[[#This Row],[Column10]]&amp; " ","")</f>
        <v/>
      </c>
      <c r="O77" s="35"/>
      <c r="P77" s="673">
        <v>0</v>
      </c>
      <c r="Q77" s="35"/>
      <c r="R77" s="27" t="s">
        <v>724</v>
      </c>
      <c r="S77" s="27"/>
      <c r="T77" s="27"/>
      <c r="U77" s="27"/>
      <c r="V77" s="27"/>
      <c r="W77" s="27"/>
      <c r="X77" s="27"/>
    </row>
    <row r="78" spans="2:24" x14ac:dyDescent="0.2">
      <c r="B78" s="26"/>
      <c r="C78" s="30"/>
      <c r="D78" s="27"/>
      <c r="E78" s="30"/>
      <c r="F78" s="27"/>
      <c r="G78" s="75">
        <f>IF(G$4=2,G$16-1,0)</f>
        <v>0</v>
      </c>
      <c r="H78" s="27"/>
      <c r="I78" s="75">
        <f>IF(I$4=2,I$16-1,0)</f>
        <v>0</v>
      </c>
      <c r="J78" s="27"/>
      <c r="K78" s="30" t="s">
        <v>251</v>
      </c>
      <c r="L78" s="35">
        <v>12</v>
      </c>
      <c r="M78" s="35">
        <f>SUM(TableClientButtons[[#This Row],[Column2]:[Column9]])</f>
        <v>0</v>
      </c>
      <c r="N78" s="35" t="str">
        <f>IF(TableClientButtons[[#This Row],[Column12]]&gt;0,IF(TableClientButtons[[#This Row],[Column12]]&gt;1,TableClientButtons[[#This Row],[Column12]]&amp;"*","")&amp;TableClientButtons[[#This Row],[Column10]]&amp; " ","")</f>
        <v/>
      </c>
      <c r="O78" s="678">
        <f>IF(TableClientButtons[[#This Row],[Column12]]&gt;(O72+O71),TableClientButtons[[#This Row],[Column12]]-(O72+O71),0)</f>
        <v>0</v>
      </c>
      <c r="P78" s="673">
        <f>P75</f>
        <v>153.91999999999999</v>
      </c>
      <c r="Q78" s="35"/>
      <c r="R78" s="27"/>
      <c r="S78" s="27"/>
      <c r="T78" s="27"/>
      <c r="U78" s="27"/>
      <c r="V78" s="27"/>
      <c r="W78" s="27"/>
      <c r="X78" s="27"/>
    </row>
    <row r="79" spans="2:24" x14ac:dyDescent="0.2">
      <c r="B79" s="26"/>
      <c r="C79" s="30"/>
      <c r="D79" s="27"/>
      <c r="E79" s="30"/>
      <c r="F79" s="27"/>
      <c r="G79" s="75">
        <f>IF(G$4=3,G$16-1,0)</f>
        <v>0</v>
      </c>
      <c r="H79" s="27"/>
      <c r="I79" s="75">
        <f>IF(I$4=3,I$16-1,0)</f>
        <v>0</v>
      </c>
      <c r="J79" s="27"/>
      <c r="K79" s="30"/>
      <c r="L79" s="35"/>
      <c r="M79" s="35"/>
      <c r="N79" s="35" t="str">
        <f>IF(TableClientButtons[[#This Row],[Column12]]&gt;0,IF(TableClientButtons[[#This Row],[Column12]]&gt;1,TableClientButtons[[#This Row],[Column12]]&amp;"*","")&amp;TableClientButtons[[#This Row],[Column10]]&amp; " ","")</f>
        <v/>
      </c>
      <c r="O79" s="35"/>
      <c r="P79" s="673">
        <v>0</v>
      </c>
      <c r="Q79" s="35"/>
      <c r="R79" s="27"/>
      <c r="S79" s="27"/>
      <c r="T79" s="27"/>
      <c r="U79" s="27"/>
      <c r="V79" s="27"/>
      <c r="W79" s="27"/>
      <c r="X79" s="27"/>
    </row>
    <row r="80" spans="2:24" x14ac:dyDescent="0.2">
      <c r="B80" s="26"/>
      <c r="C80" s="30"/>
      <c r="D80" s="27"/>
      <c r="E80" s="30"/>
      <c r="F80" s="27"/>
      <c r="G80" s="30"/>
      <c r="H80" s="27"/>
      <c r="I80" s="30"/>
      <c r="J80" s="74">
        <f>IF(SCANOPY_CaseAndMount=TRUE(),SCANOPY_N_System-1,0)</f>
        <v>0</v>
      </c>
      <c r="K80" s="30" t="s">
        <v>248</v>
      </c>
      <c r="L80" s="30">
        <v>29</v>
      </c>
      <c r="M80" s="35">
        <f>SUM(TableClientButtons[[#This Row],[Column2]:[Column9]])</f>
        <v>0</v>
      </c>
      <c r="N80" s="35" t="str">
        <f>IF(TableClientButtons[[#This Row],[Column12]]&gt;0,IF(TableClientButtons[[#This Row],[Column12]]&gt;1,TableClientButtons[[#This Row],[Column12]]&amp;"*","")&amp;TableClientButtons[[#This Row],[Column10]]&amp; " ","")</f>
        <v/>
      </c>
      <c r="O80" s="35">
        <f>TableClientButtons[[#This Row],[Column12]]</f>
        <v>0</v>
      </c>
      <c r="P80" s="35">
        <f>INDEX('Ship$'!D18:Y18,1,SHIP_Country_Index)*SHIP_CurrencyTaux</f>
        <v>313.02</v>
      </c>
      <c r="Q80" s="35"/>
      <c r="R80" s="27"/>
      <c r="S80" s="27"/>
      <c r="T80" s="27"/>
      <c r="U80" s="27"/>
      <c r="V80" s="27"/>
      <c r="W80" s="27"/>
      <c r="X80" s="27"/>
    </row>
    <row r="81" spans="2:25" x14ac:dyDescent="0.2">
      <c r="B81" s="26"/>
      <c r="C81" s="30"/>
      <c r="D81" s="27"/>
      <c r="E81" s="30"/>
      <c r="F81" s="27"/>
      <c r="G81" s="30"/>
      <c r="H81" s="27"/>
      <c r="I81" s="30"/>
      <c r="J81" s="74">
        <f>IF(SCANOPY_CaseAndMount=FALSE(),SCANOPY_N_System-1,0)</f>
        <v>0</v>
      </c>
      <c r="K81" s="30" t="s">
        <v>769</v>
      </c>
      <c r="L81" s="30" t="s">
        <v>255</v>
      </c>
      <c r="M81" s="35">
        <f>SUM(TableClientButtons[[#This Row],[Column2]:[Column9]])</f>
        <v>0</v>
      </c>
      <c r="N81" s="35" t="str">
        <f>IF(TableClientButtons[[#This Row],[Column12]]&gt;0,IF(TableClientButtons[[#This Row],[Column12]]&gt;1,TableClientButtons[[#This Row],[Column12]]&amp;"*","")&amp;TableClientButtons[[#This Row],[Column10]]&amp; " ","")</f>
        <v/>
      </c>
      <c r="O81" s="35">
        <f>TableClientButtons[[#This Row],[Column12]]</f>
        <v>0</v>
      </c>
      <c r="P81" s="673">
        <v>0</v>
      </c>
      <c r="Q81" s="35"/>
      <c r="R81" s="27"/>
      <c r="S81" s="27"/>
      <c r="T81" s="27"/>
      <c r="U81" s="27"/>
      <c r="V81" s="27"/>
      <c r="W81" s="27"/>
      <c r="X81" s="27"/>
    </row>
    <row r="82" spans="2:25" x14ac:dyDescent="0.2">
      <c r="B82" s="26"/>
      <c r="C82" s="30"/>
      <c r="D82" s="27"/>
      <c r="E82" s="30"/>
      <c r="F82" s="27"/>
      <c r="G82" s="30"/>
      <c r="H82" s="27"/>
      <c r="I82" s="30"/>
      <c r="J82" s="74">
        <f>IF(SCANOPY_BigTripod,SCANOPY_N_System-1,0)</f>
        <v>0</v>
      </c>
      <c r="K82" s="30" t="s">
        <v>765</v>
      </c>
      <c r="L82" s="30" t="s">
        <v>766</v>
      </c>
      <c r="M82" s="35">
        <f>SUM(TableClientButtons[[#This Row],[Column2]:[Column9]])</f>
        <v>0</v>
      </c>
      <c r="N82" s="35" t="str">
        <f>IF(TableClientButtons[[#This Row],[Column12]]&gt;0,IF(TableClientButtons[[#This Row],[Column12]]&gt;1,TableClientButtons[[#This Row],[Column12]]&amp;"*","")&amp;TableClientButtons[[#This Row],[Column10]]&amp; " ","")</f>
        <v/>
      </c>
      <c r="O82" s="35">
        <f>TableClientButtons[[#This Row],[Column12]]</f>
        <v>0</v>
      </c>
      <c r="P82" s="673"/>
      <c r="Q82" s="35"/>
      <c r="R82" s="27"/>
      <c r="S82" s="27"/>
      <c r="T82" s="27"/>
      <c r="U82" s="27"/>
      <c r="V82" s="27"/>
      <c r="W82" s="27"/>
      <c r="X82" s="27"/>
    </row>
    <row r="83" spans="2:25" x14ac:dyDescent="0.2">
      <c r="B83" s="26"/>
      <c r="C83" s="30"/>
      <c r="D83" s="27"/>
      <c r="E83" s="27"/>
      <c r="F83" s="27"/>
      <c r="G83" s="30"/>
      <c r="H83" s="27"/>
      <c r="I83" s="30"/>
      <c r="J83" s="30"/>
      <c r="K83" s="30"/>
      <c r="L83" s="35">
        <v>0</v>
      </c>
      <c r="M83" s="35">
        <f>IF(SUM(M66:M68,M71)&gt;0,0,SUM(N13:N17))</f>
        <v>0</v>
      </c>
      <c r="N83" s="35" t="str">
        <f>IF(TableClientButtons[[#This Row],[Column12]]&gt;0,TableClientButtons[[#This Row],[Column10]]&amp; " ","")</f>
        <v/>
      </c>
      <c r="O83" s="677">
        <f>MAX(0,TableClientButtons[[#This Row],[Column12]]-O68)</f>
        <v>0</v>
      </c>
      <c r="P83" s="677">
        <f>IF(O83&lt;3,
INDEX('Ship$'!D20:Y20,1,SHIP_Country_Index)*SHIP_CurrencyTaux,
INDEX('Ship$'!D21:Y21,1,SHIP_Country_Index)*SHIP_CurrencyTaux)</f>
        <v>132.46</v>
      </c>
      <c r="Q83" s="35"/>
      <c r="R83" s="27"/>
      <c r="S83" s="27"/>
      <c r="T83" s="27"/>
      <c r="U83" s="27"/>
      <c r="V83" s="27"/>
      <c r="W83" s="27"/>
      <c r="X83" s="27"/>
    </row>
    <row r="84" spans="2:25" x14ac:dyDescent="0.2">
      <c r="B84" s="26"/>
      <c r="C84" s="30"/>
      <c r="D84" s="27"/>
      <c r="E84" s="27"/>
      <c r="F84" s="27"/>
      <c r="G84" s="30"/>
      <c r="H84" s="27"/>
      <c r="I84" s="30"/>
      <c r="J84" s="30"/>
      <c r="K84" s="30"/>
      <c r="L84" s="35">
        <v>0</v>
      </c>
      <c r="M84" s="35">
        <f>IF(E4=2,
 IF(SUM(M66:M68,M71)&gt;0,0, SUM(N21:N22)),
0)</f>
        <v>0</v>
      </c>
      <c r="N84" s="35" t="str">
        <f>IF(TableClientButtons[[#This Row],[Column12]]&gt;0,TableClientButtons[[#This Row],[Column10]]&amp; " ","")</f>
        <v/>
      </c>
      <c r="O84" s="677">
        <f>MAX(0,TableClientButtons[[#This Row],[Column12]]+M85-O72)</f>
        <v>0</v>
      </c>
      <c r="P84" s="677">
        <f>IF(O84&lt;5,
INDEX('Ship$'!D22:Y22,1,SHIP_Country_Index)*SHIP_CurrencyTaux,
INDEX('Ship$'!D23:Y23,1,SHIP_Country_Index)*SHIP_CurrencyTaux)</f>
        <v>132.46</v>
      </c>
      <c r="Q84" s="35"/>
      <c r="R84" s="27"/>
      <c r="S84" s="27"/>
      <c r="T84" s="27"/>
      <c r="U84" s="27"/>
      <c r="V84" s="27"/>
      <c r="W84" s="27"/>
      <c r="X84" s="27"/>
    </row>
    <row r="85" spans="2:25" x14ac:dyDescent="0.2">
      <c r="B85" s="26"/>
      <c r="C85" s="30"/>
      <c r="D85" s="27"/>
      <c r="E85" s="27"/>
      <c r="F85" s="27"/>
      <c r="G85" s="30"/>
      <c r="H85" s="27"/>
      <c r="I85" s="30"/>
      <c r="J85" s="30"/>
      <c r="K85" s="30"/>
      <c r="L85" s="35">
        <v>0</v>
      </c>
      <c r="M85" s="35">
        <f>IF(E4=2,
IF(SUM(M66:M68,M71)&gt;0,0,SUM(N18:N20,N23)),
0)</f>
        <v>0</v>
      </c>
      <c r="N85" s="35" t="str">
        <f>IF(TableClientButtons[[#This Row],[Column12]]&gt;0,TableClientButtons[[#This Row],[Column10]]&amp; " ","")</f>
        <v/>
      </c>
      <c r="O85" s="35"/>
      <c r="P85" s="35"/>
      <c r="Q85" s="35"/>
      <c r="R85" s="27"/>
      <c r="S85" s="27"/>
      <c r="T85" s="27"/>
      <c r="U85" s="27"/>
      <c r="V85" s="27"/>
      <c r="W85" s="27"/>
      <c r="X85" s="27"/>
    </row>
    <row r="86" spans="2:25" x14ac:dyDescent="0.2">
      <c r="B86" s="26"/>
      <c r="C86" s="30"/>
      <c r="D86" s="27"/>
      <c r="E86" s="30"/>
      <c r="F86" s="27"/>
      <c r="G86" s="30"/>
      <c r="H86" s="27"/>
      <c r="I86" s="30"/>
      <c r="J86" s="27"/>
      <c r="K86" s="30"/>
      <c r="L86" s="475">
        <f>SUMPRODUCT(L66:L81,M66:M81)+L83+L84+L85</f>
        <v>0</v>
      </c>
      <c r="M86" s="475">
        <f>SUM(M66:M81)+IF(M83&gt;0,1)+IF(M83&gt;6,1)+IF(M84&gt;0,1)+IF(M84&gt;6,1)+IF(M85&gt;0,1)+IF(M85&gt;6,1)</f>
        <v>0</v>
      </c>
      <c r="N86" s="475" t="str">
        <f>CONCATENATE(N66,N67,N68,N69,N70,N71,N72,N73,N74,N75,N76,N77,N78,N79,N80,N81,N82,N83,N84,N85)</f>
        <v/>
      </c>
      <c r="O86" s="30"/>
      <c r="P86" s="674">
        <f>ROUNDUP(
SUMPRODUCT(P66:P81,O66:O81)+P34*O34+
(INT((O83-1)/3)+1)*P83+
(INT((O84-1)/3)+1)*P84+
(INT((O85-1)/3)+1)*P85,0)</f>
        <v>0</v>
      </c>
      <c r="Q86" s="35"/>
      <c r="R86" s="27"/>
      <c r="S86" s="27"/>
      <c r="T86" s="27"/>
      <c r="U86" s="27"/>
      <c r="V86" s="27"/>
      <c r="W86" s="27"/>
      <c r="X86" s="27"/>
    </row>
    <row r="87" spans="2:25" x14ac:dyDescent="0.2">
      <c r="B87" s="26"/>
      <c r="C87" s="30"/>
      <c r="D87" s="27"/>
      <c r="E87" s="30"/>
      <c r="F87" s="27"/>
      <c r="G87" s="30"/>
      <c r="H87" s="27"/>
      <c r="I87" s="30"/>
      <c r="J87" s="27"/>
      <c r="K87" s="30"/>
      <c r="L87" s="35"/>
      <c r="M87" s="35"/>
      <c r="N87" s="22"/>
      <c r="O87" s="26"/>
      <c r="P87" s="27"/>
      <c r="Q87" s="27"/>
      <c r="R87" s="27"/>
      <c r="S87" s="27"/>
      <c r="T87" s="27"/>
      <c r="U87" s="27"/>
      <c r="V87" s="27"/>
      <c r="W87" s="27"/>
      <c r="X87" s="27"/>
    </row>
    <row r="88" spans="2:25" x14ac:dyDescent="0.2">
      <c r="B88" s="44" t="s">
        <v>253</v>
      </c>
      <c r="C88" s="27" t="s">
        <v>7</v>
      </c>
      <c r="D88" s="27"/>
      <c r="E88" s="30"/>
      <c r="F88" s="27"/>
      <c r="G88" s="30" t="s">
        <v>384</v>
      </c>
      <c r="H88" s="27"/>
      <c r="I88" s="30"/>
      <c r="J88" s="27"/>
      <c r="K88" s="30"/>
      <c r="L88" s="35"/>
      <c r="M88" s="35"/>
      <c r="N88" s="22"/>
      <c r="O88" s="26"/>
      <c r="P88" s="27"/>
      <c r="Q88" s="27"/>
      <c r="R88" s="27"/>
      <c r="S88" s="27"/>
      <c r="T88" s="27"/>
      <c r="U88" s="27"/>
      <c r="V88" s="27"/>
      <c r="W88" s="27"/>
      <c r="X88" s="27"/>
    </row>
    <row r="89" spans="2:25" x14ac:dyDescent="0.2">
      <c r="B89" s="34"/>
      <c r="C89" s="29"/>
      <c r="G89" s="32" t="s">
        <v>385</v>
      </c>
      <c r="H89" s="32" t="s">
        <v>386</v>
      </c>
      <c r="I89" s="32" t="s">
        <v>387</v>
      </c>
      <c r="J89" s="32" t="s">
        <v>388</v>
      </c>
      <c r="K89" s="32" t="s">
        <v>389</v>
      </c>
      <c r="L89" s="22" t="s">
        <v>390</v>
      </c>
      <c r="M89" s="22" t="s">
        <v>391</v>
      </c>
      <c r="N89" s="22" t="s">
        <v>392</v>
      </c>
      <c r="O89" s="23" t="s">
        <v>393</v>
      </c>
      <c r="P89" s="23" t="s">
        <v>394</v>
      </c>
      <c r="Q89" s="23" t="s">
        <v>395</v>
      </c>
      <c r="R89" s="23" t="s">
        <v>396</v>
      </c>
      <c r="T89" s="606" t="s">
        <v>397</v>
      </c>
      <c r="U89" s="606" t="s">
        <v>412</v>
      </c>
      <c r="V89" s="32" t="s">
        <v>410</v>
      </c>
      <c r="W89" s="32" t="s">
        <v>411</v>
      </c>
      <c r="X89" s="32" t="s">
        <v>414</v>
      </c>
      <c r="Y89" s="32" t="s">
        <v>413</v>
      </c>
    </row>
    <row r="90" spans="2:25" x14ac:dyDescent="0.2">
      <c r="B90" s="34"/>
      <c r="C90" s="40"/>
      <c r="G90" s="32">
        <v>1</v>
      </c>
      <c r="H90" s="32">
        <v>1</v>
      </c>
      <c r="I90" s="32">
        <v>1</v>
      </c>
      <c r="J90" s="32">
        <v>1</v>
      </c>
      <c r="K90" s="32">
        <v>1</v>
      </c>
      <c r="L90" s="32">
        <v>1</v>
      </c>
      <c r="M90" s="32">
        <v>1</v>
      </c>
      <c r="N90" s="32">
        <v>1</v>
      </c>
      <c r="O90" s="32">
        <v>1</v>
      </c>
      <c r="P90" s="32">
        <v>1</v>
      </c>
      <c r="Q90" s="32">
        <v>1</v>
      </c>
      <c r="R90" s="32">
        <v>1</v>
      </c>
      <c r="S90" s="32"/>
      <c r="T90" s="23" t="s">
        <v>398</v>
      </c>
      <c r="U90" s="23">
        <v>2024</v>
      </c>
      <c r="V90">
        <v>31</v>
      </c>
      <c r="W90">
        <v>5</v>
      </c>
      <c r="X90" s="23">
        <v>2</v>
      </c>
      <c r="Y90" s="23">
        <f>(DatePick_YearIndex-1)+$U$90</f>
        <v>2025</v>
      </c>
    </row>
    <row r="91" spans="2:25" x14ac:dyDescent="0.2">
      <c r="B91" s="34"/>
      <c r="C91" s="40"/>
      <c r="G91" s="32">
        <v>2</v>
      </c>
      <c r="H91" s="32">
        <v>2</v>
      </c>
      <c r="I91" s="32">
        <v>2</v>
      </c>
      <c r="J91" s="32">
        <v>2</v>
      </c>
      <c r="K91" s="32">
        <v>2</v>
      </c>
      <c r="L91" s="32">
        <v>2</v>
      </c>
      <c r="M91" s="32">
        <v>2</v>
      </c>
      <c r="N91" s="32">
        <v>2</v>
      </c>
      <c r="O91" s="32">
        <v>2</v>
      </c>
      <c r="P91" s="32">
        <v>2</v>
      </c>
      <c r="Q91" s="32">
        <v>2</v>
      </c>
      <c r="R91" s="32">
        <v>2</v>
      </c>
      <c r="S91" s="32"/>
      <c r="T91" s="23" t="s">
        <v>399</v>
      </c>
      <c r="U91" s="23">
        <v>2025</v>
      </c>
    </row>
    <row r="92" spans="2:25" x14ac:dyDescent="0.2">
      <c r="B92" s="34"/>
      <c r="C92" s="29"/>
      <c r="G92" s="32">
        <v>3</v>
      </c>
      <c r="H92" s="32">
        <v>3</v>
      </c>
      <c r="I92" s="32">
        <v>3</v>
      </c>
      <c r="J92" s="32">
        <v>3</v>
      </c>
      <c r="K92" s="32">
        <v>3</v>
      </c>
      <c r="L92" s="32">
        <v>3</v>
      </c>
      <c r="M92" s="32">
        <v>3</v>
      </c>
      <c r="N92" s="32">
        <v>3</v>
      </c>
      <c r="O92" s="32">
        <v>3</v>
      </c>
      <c r="P92" s="32">
        <v>3</v>
      </c>
      <c r="Q92" s="32">
        <v>3</v>
      </c>
      <c r="R92" s="32">
        <v>3</v>
      </c>
      <c r="S92" s="32"/>
      <c r="T92" s="23" t="s">
        <v>400</v>
      </c>
      <c r="U92" s="23">
        <v>2026</v>
      </c>
    </row>
    <row r="93" spans="2:25" x14ac:dyDescent="0.2">
      <c r="B93" s="34"/>
      <c r="C93" s="29"/>
      <c r="G93" s="32">
        <v>4</v>
      </c>
      <c r="H93" s="32">
        <v>4</v>
      </c>
      <c r="I93" s="32">
        <v>4</v>
      </c>
      <c r="J93" s="32">
        <v>4</v>
      </c>
      <c r="K93" s="32">
        <v>4</v>
      </c>
      <c r="L93" s="32">
        <v>4</v>
      </c>
      <c r="M93" s="32">
        <v>4</v>
      </c>
      <c r="N93" s="32">
        <v>4</v>
      </c>
      <c r="O93" s="32">
        <v>4</v>
      </c>
      <c r="P93" s="32">
        <v>4</v>
      </c>
      <c r="Q93" s="32">
        <v>4</v>
      </c>
      <c r="R93" s="32">
        <v>4</v>
      </c>
      <c r="S93" s="32"/>
      <c r="T93" s="23" t="s">
        <v>401</v>
      </c>
      <c r="U93" s="23">
        <v>2027</v>
      </c>
    </row>
    <row r="94" spans="2:25" x14ac:dyDescent="0.2">
      <c r="B94" s="34"/>
      <c r="C94" s="29"/>
      <c r="G94" s="32">
        <v>5</v>
      </c>
      <c r="H94" s="32">
        <v>5</v>
      </c>
      <c r="I94" s="32">
        <v>5</v>
      </c>
      <c r="J94" s="32">
        <v>5</v>
      </c>
      <c r="K94" s="32">
        <v>5</v>
      </c>
      <c r="L94" s="32">
        <v>5</v>
      </c>
      <c r="M94" s="32">
        <v>5</v>
      </c>
      <c r="N94" s="32">
        <v>5</v>
      </c>
      <c r="O94" s="32">
        <v>5</v>
      </c>
      <c r="P94" s="32">
        <v>5</v>
      </c>
      <c r="Q94" s="32">
        <v>5</v>
      </c>
      <c r="R94" s="32">
        <v>5</v>
      </c>
      <c r="S94" s="32"/>
      <c r="T94" s="23" t="s">
        <v>402</v>
      </c>
      <c r="U94" s="23">
        <v>2028</v>
      </c>
    </row>
    <row r="95" spans="2:25" x14ac:dyDescent="0.2">
      <c r="B95" s="34"/>
      <c r="C95" s="29" t="b">
        <v>1</v>
      </c>
      <c r="G95" s="32">
        <v>6</v>
      </c>
      <c r="H95" s="32">
        <v>6</v>
      </c>
      <c r="I95" s="32">
        <v>6</v>
      </c>
      <c r="J95" s="32">
        <v>6</v>
      </c>
      <c r="K95" s="32">
        <v>6</v>
      </c>
      <c r="L95" s="32">
        <v>6</v>
      </c>
      <c r="M95" s="32">
        <v>6</v>
      </c>
      <c r="N95" s="32">
        <v>6</v>
      </c>
      <c r="O95" s="32">
        <v>6</v>
      </c>
      <c r="P95" s="32">
        <v>6</v>
      </c>
      <c r="Q95" s="32">
        <v>6</v>
      </c>
      <c r="R95" s="32">
        <v>6</v>
      </c>
      <c r="S95" s="32"/>
      <c r="T95" s="23" t="s">
        <v>403</v>
      </c>
      <c r="U95" s="23">
        <v>2029</v>
      </c>
    </row>
    <row r="96" spans="2:25" x14ac:dyDescent="0.2">
      <c r="B96" s="35"/>
      <c r="C96" s="29" t="b">
        <v>1</v>
      </c>
      <c r="G96" s="32">
        <v>7</v>
      </c>
      <c r="H96" s="32">
        <v>7</v>
      </c>
      <c r="I96" s="32">
        <v>7</v>
      </c>
      <c r="J96" s="32">
        <v>7</v>
      </c>
      <c r="K96" s="32">
        <v>7</v>
      </c>
      <c r="L96" s="32">
        <v>7</v>
      </c>
      <c r="M96" s="32">
        <v>7</v>
      </c>
      <c r="N96" s="32">
        <v>7</v>
      </c>
      <c r="O96" s="32">
        <v>7</v>
      </c>
      <c r="P96" s="32">
        <v>7</v>
      </c>
      <c r="Q96" s="32">
        <v>7</v>
      </c>
      <c r="R96" s="32">
        <v>7</v>
      </c>
      <c r="S96" s="32"/>
      <c r="T96" s="23" t="s">
        <v>404</v>
      </c>
      <c r="U96" s="23">
        <v>2030</v>
      </c>
    </row>
    <row r="97" spans="2:21" x14ac:dyDescent="0.2">
      <c r="B97" s="35"/>
      <c r="C97" s="30" t="b">
        <v>1</v>
      </c>
      <c r="G97" s="32">
        <v>8</v>
      </c>
      <c r="H97" s="32">
        <v>8</v>
      </c>
      <c r="I97" s="32">
        <v>8</v>
      </c>
      <c r="J97" s="32">
        <v>8</v>
      </c>
      <c r="K97" s="32">
        <v>8</v>
      </c>
      <c r="L97" s="32">
        <v>8</v>
      </c>
      <c r="M97" s="32">
        <v>8</v>
      </c>
      <c r="N97" s="32">
        <v>8</v>
      </c>
      <c r="O97" s="32">
        <v>8</v>
      </c>
      <c r="P97" s="32">
        <v>8</v>
      </c>
      <c r="Q97" s="32">
        <v>8</v>
      </c>
      <c r="R97" s="32">
        <v>8</v>
      </c>
      <c r="S97" s="32"/>
      <c r="T97" s="23" t="s">
        <v>405</v>
      </c>
      <c r="U97" s="23">
        <v>2031</v>
      </c>
    </row>
    <row r="98" spans="2:21" x14ac:dyDescent="0.2">
      <c r="B98" s="35"/>
      <c r="C98" s="30" t="b">
        <v>0</v>
      </c>
      <c r="G98" s="32">
        <v>9</v>
      </c>
      <c r="H98" s="32">
        <v>9</v>
      </c>
      <c r="I98" s="32">
        <v>9</v>
      </c>
      <c r="J98" s="32">
        <v>9</v>
      </c>
      <c r="K98" s="32">
        <v>9</v>
      </c>
      <c r="L98" s="32">
        <v>9</v>
      </c>
      <c r="M98" s="32">
        <v>9</v>
      </c>
      <c r="N98" s="32">
        <v>9</v>
      </c>
      <c r="O98" s="32">
        <v>9</v>
      </c>
      <c r="P98" s="32">
        <v>9</v>
      </c>
      <c r="Q98" s="32">
        <v>9</v>
      </c>
      <c r="R98" s="32">
        <v>9</v>
      </c>
      <c r="S98" s="32"/>
      <c r="T98" s="23" t="s">
        <v>406</v>
      </c>
      <c r="U98" s="23">
        <v>2032</v>
      </c>
    </row>
    <row r="99" spans="2:21" x14ac:dyDescent="0.2">
      <c r="B99" s="35"/>
      <c r="C99" s="30">
        <v>5</v>
      </c>
      <c r="G99" s="32">
        <v>10</v>
      </c>
      <c r="H99" s="32">
        <v>10</v>
      </c>
      <c r="I99" s="32">
        <v>10</v>
      </c>
      <c r="J99" s="32">
        <v>10</v>
      </c>
      <c r="K99" s="32">
        <v>10</v>
      </c>
      <c r="L99" s="32">
        <v>10</v>
      </c>
      <c r="M99" s="32">
        <v>10</v>
      </c>
      <c r="N99" s="32">
        <v>10</v>
      </c>
      <c r="O99" s="32">
        <v>10</v>
      </c>
      <c r="P99" s="32">
        <v>10</v>
      </c>
      <c r="Q99" s="32">
        <v>10</v>
      </c>
      <c r="R99" s="32">
        <v>10</v>
      </c>
      <c r="S99" s="32"/>
      <c r="T99" s="23" t="s">
        <v>407</v>
      </c>
      <c r="U99" s="23">
        <v>2033</v>
      </c>
    </row>
    <row r="100" spans="2:21" x14ac:dyDescent="0.2">
      <c r="B100" s="35"/>
      <c r="C100" s="30">
        <v>3</v>
      </c>
      <c r="G100" s="32">
        <v>11</v>
      </c>
      <c r="H100" s="32">
        <v>11</v>
      </c>
      <c r="I100" s="32">
        <v>11</v>
      </c>
      <c r="J100" s="32">
        <v>11</v>
      </c>
      <c r="K100" s="32">
        <v>11</v>
      </c>
      <c r="L100" s="32">
        <v>11</v>
      </c>
      <c r="M100" s="32">
        <v>11</v>
      </c>
      <c r="N100" s="32">
        <v>11</v>
      </c>
      <c r="O100" s="32">
        <v>11</v>
      </c>
      <c r="P100" s="32">
        <v>11</v>
      </c>
      <c r="Q100" s="32">
        <v>11</v>
      </c>
      <c r="R100" s="32">
        <v>11</v>
      </c>
      <c r="S100" s="32"/>
      <c r="T100" s="23" t="s">
        <v>408</v>
      </c>
      <c r="U100" s="23">
        <v>2034</v>
      </c>
    </row>
    <row r="101" spans="2:21" x14ac:dyDescent="0.2">
      <c r="B101" s="35"/>
      <c r="C101" s="705" t="str">
        <f>IF(Francais," Garantie 30 jours, à inspecter à la réception",". Warranty 30 days, must inspect at reception")</f>
        <v>. Warranty 30 days, must inspect at reception</v>
      </c>
      <c r="G101" s="32">
        <v>12</v>
      </c>
      <c r="H101" s="32">
        <v>12</v>
      </c>
      <c r="I101" s="32">
        <v>12</v>
      </c>
      <c r="J101" s="32">
        <v>12</v>
      </c>
      <c r="K101" s="32">
        <v>12</v>
      </c>
      <c r="L101" s="32">
        <v>12</v>
      </c>
      <c r="M101" s="32">
        <v>12</v>
      </c>
      <c r="N101" s="32">
        <v>12</v>
      </c>
      <c r="O101" s="32">
        <v>12</v>
      </c>
      <c r="P101" s="32">
        <v>12</v>
      </c>
      <c r="Q101" s="32">
        <v>12</v>
      </c>
      <c r="R101" s="32">
        <v>12</v>
      </c>
      <c r="S101" s="32"/>
      <c r="T101" s="23" t="s">
        <v>409</v>
      </c>
      <c r="U101" s="23">
        <v>2035</v>
      </c>
    </row>
    <row r="102" spans="2:21" x14ac:dyDescent="0.2">
      <c r="B102" s="35"/>
      <c r="C102" s="42" t="b">
        <v>0</v>
      </c>
      <c r="G102" s="32">
        <v>13</v>
      </c>
      <c r="H102" s="32">
        <v>13</v>
      </c>
      <c r="I102" s="32">
        <v>13</v>
      </c>
      <c r="J102" s="32">
        <v>13</v>
      </c>
      <c r="K102" s="32">
        <v>13</v>
      </c>
      <c r="L102" s="32">
        <v>13</v>
      </c>
      <c r="M102" s="32">
        <v>13</v>
      </c>
      <c r="N102" s="32">
        <v>13</v>
      </c>
      <c r="O102" s="32">
        <v>13</v>
      </c>
      <c r="P102" s="32">
        <v>13</v>
      </c>
      <c r="Q102" s="32">
        <v>13</v>
      </c>
      <c r="R102" s="32">
        <v>13</v>
      </c>
      <c r="S102" s="32"/>
      <c r="U102" s="23">
        <v>2036</v>
      </c>
    </row>
    <row r="103" spans="2:21" x14ac:dyDescent="0.2">
      <c r="B103" s="35"/>
      <c r="C103" s="42">
        <v>847160</v>
      </c>
      <c r="G103" s="32">
        <v>14</v>
      </c>
      <c r="H103" s="32">
        <v>14</v>
      </c>
      <c r="I103" s="32">
        <v>14</v>
      </c>
      <c r="J103" s="32">
        <v>14</v>
      </c>
      <c r="K103" s="32">
        <v>14</v>
      </c>
      <c r="L103" s="32">
        <v>14</v>
      </c>
      <c r="M103" s="32">
        <v>14</v>
      </c>
      <c r="N103" s="32">
        <v>14</v>
      </c>
      <c r="O103" s="32">
        <v>14</v>
      </c>
      <c r="P103" s="32">
        <v>14</v>
      </c>
      <c r="Q103" s="32">
        <v>14</v>
      </c>
      <c r="R103" s="32">
        <v>14</v>
      </c>
      <c r="S103" s="32"/>
      <c r="U103" s="23">
        <v>2037</v>
      </c>
    </row>
    <row r="104" spans="2:21" x14ac:dyDescent="0.2">
      <c r="B104" s="35"/>
      <c r="C104" s="40">
        <v>1</v>
      </c>
      <c r="G104" s="32">
        <v>15</v>
      </c>
      <c r="H104" s="32">
        <v>15</v>
      </c>
      <c r="I104" s="32">
        <v>15</v>
      </c>
      <c r="J104" s="32">
        <v>15</v>
      </c>
      <c r="K104" s="32">
        <v>15</v>
      </c>
      <c r="L104" s="32">
        <v>15</v>
      </c>
      <c r="M104" s="32">
        <v>15</v>
      </c>
      <c r="N104" s="32">
        <v>15</v>
      </c>
      <c r="O104" s="32">
        <v>15</v>
      </c>
      <c r="P104" s="32">
        <v>15</v>
      </c>
      <c r="Q104" s="32">
        <v>15</v>
      </c>
      <c r="R104" s="32">
        <v>15</v>
      </c>
      <c r="S104" s="32"/>
      <c r="U104" s="23">
        <v>2038</v>
      </c>
    </row>
    <row r="105" spans="2:21" x14ac:dyDescent="0.2">
      <c r="B105" s="35"/>
      <c r="C105" s="29" t="b">
        <v>0</v>
      </c>
      <c r="G105" s="32">
        <v>16</v>
      </c>
      <c r="H105" s="32">
        <v>16</v>
      </c>
      <c r="I105" s="32">
        <v>16</v>
      </c>
      <c r="J105" s="32">
        <v>16</v>
      </c>
      <c r="K105" s="32">
        <v>16</v>
      </c>
      <c r="L105" s="32">
        <v>16</v>
      </c>
      <c r="M105" s="32">
        <v>16</v>
      </c>
      <c r="N105" s="32">
        <v>16</v>
      </c>
      <c r="O105" s="32">
        <v>16</v>
      </c>
      <c r="P105" s="32">
        <v>16</v>
      </c>
      <c r="Q105" s="32">
        <v>16</v>
      </c>
      <c r="R105" s="32">
        <v>16</v>
      </c>
      <c r="S105" s="32"/>
      <c r="U105" s="23">
        <v>2039</v>
      </c>
    </row>
    <row r="106" spans="2:21" x14ac:dyDescent="0.2">
      <c r="B106" s="35"/>
      <c r="C106" s="29" t="b">
        <v>0</v>
      </c>
      <c r="G106" s="32">
        <v>17</v>
      </c>
      <c r="H106" s="32">
        <v>17</v>
      </c>
      <c r="I106" s="32">
        <v>17</v>
      </c>
      <c r="J106" s="32">
        <v>17</v>
      </c>
      <c r="K106" s="32">
        <v>17</v>
      </c>
      <c r="L106" s="32">
        <v>17</v>
      </c>
      <c r="M106" s="32">
        <v>17</v>
      </c>
      <c r="N106" s="32">
        <v>17</v>
      </c>
      <c r="O106" s="32">
        <v>17</v>
      </c>
      <c r="P106" s="32">
        <v>17</v>
      </c>
      <c r="Q106" s="32">
        <v>17</v>
      </c>
      <c r="R106" s="32">
        <v>17</v>
      </c>
      <c r="S106" s="32"/>
      <c r="U106" s="23">
        <v>2040</v>
      </c>
    </row>
    <row r="107" spans="2:21" x14ac:dyDescent="0.2">
      <c r="B107" s="35"/>
      <c r="C107" s="29" t="b">
        <v>0</v>
      </c>
      <c r="G107" s="32">
        <v>18</v>
      </c>
      <c r="H107" s="32">
        <v>18</v>
      </c>
      <c r="I107" s="32">
        <v>18</v>
      </c>
      <c r="J107" s="32">
        <v>18</v>
      </c>
      <c r="K107" s="32">
        <v>18</v>
      </c>
      <c r="L107" s="32">
        <v>18</v>
      </c>
      <c r="M107" s="32">
        <v>18</v>
      </c>
      <c r="N107" s="32">
        <v>18</v>
      </c>
      <c r="O107" s="32">
        <v>18</v>
      </c>
      <c r="P107" s="32">
        <v>18</v>
      </c>
      <c r="Q107" s="32">
        <v>18</v>
      </c>
      <c r="R107" s="32">
        <v>18</v>
      </c>
      <c r="S107" s="32"/>
      <c r="U107" s="23">
        <v>2041</v>
      </c>
    </row>
    <row r="108" spans="2:21" x14ac:dyDescent="0.2">
      <c r="B108" s="35"/>
      <c r="C108" s="29" t="b">
        <v>0</v>
      </c>
      <c r="G108" s="32">
        <v>19</v>
      </c>
      <c r="H108" s="32">
        <v>19</v>
      </c>
      <c r="I108" s="32">
        <v>19</v>
      </c>
      <c r="J108" s="32">
        <v>19</v>
      </c>
      <c r="K108" s="32">
        <v>19</v>
      </c>
      <c r="L108" s="32">
        <v>19</v>
      </c>
      <c r="M108" s="32">
        <v>19</v>
      </c>
      <c r="N108" s="32">
        <v>19</v>
      </c>
      <c r="O108" s="32">
        <v>19</v>
      </c>
      <c r="P108" s="32">
        <v>19</v>
      </c>
      <c r="Q108" s="32">
        <v>19</v>
      </c>
      <c r="R108" s="32">
        <v>19</v>
      </c>
      <c r="S108" s="32"/>
      <c r="U108" s="23">
        <v>2042</v>
      </c>
    </row>
    <row r="109" spans="2:21" x14ac:dyDescent="0.2">
      <c r="B109" s="35"/>
      <c r="C109" s="29">
        <v>2</v>
      </c>
      <c r="G109" s="32">
        <v>20</v>
      </c>
      <c r="H109" s="32">
        <v>20</v>
      </c>
      <c r="I109" s="32">
        <v>20</v>
      </c>
      <c r="J109" s="32">
        <v>20</v>
      </c>
      <c r="K109" s="32">
        <v>20</v>
      </c>
      <c r="L109" s="32">
        <v>20</v>
      </c>
      <c r="M109" s="32">
        <v>20</v>
      </c>
      <c r="N109" s="32">
        <v>20</v>
      </c>
      <c r="O109" s="32">
        <v>20</v>
      </c>
      <c r="P109" s="32">
        <v>20</v>
      </c>
      <c r="Q109" s="32">
        <v>20</v>
      </c>
      <c r="R109" s="32">
        <v>20</v>
      </c>
      <c r="S109" s="32"/>
      <c r="U109" s="23">
        <v>2043</v>
      </c>
    </row>
    <row r="110" spans="2:21" x14ac:dyDescent="0.2">
      <c r="B110" s="35"/>
      <c r="C110" s="29" t="b">
        <v>1</v>
      </c>
      <c r="G110" s="32">
        <v>21</v>
      </c>
      <c r="H110" s="32">
        <v>21</v>
      </c>
      <c r="I110" s="32">
        <v>21</v>
      </c>
      <c r="J110" s="32">
        <v>21</v>
      </c>
      <c r="K110" s="32">
        <v>21</v>
      </c>
      <c r="L110" s="32">
        <v>21</v>
      </c>
      <c r="M110" s="32">
        <v>21</v>
      </c>
      <c r="N110" s="32">
        <v>21</v>
      </c>
      <c r="O110" s="32">
        <v>21</v>
      </c>
      <c r="P110" s="32">
        <v>21</v>
      </c>
      <c r="Q110" s="32">
        <v>21</v>
      </c>
      <c r="R110" s="32">
        <v>21</v>
      </c>
      <c r="S110" s="32"/>
      <c r="U110" s="23">
        <v>2044</v>
      </c>
    </row>
    <row r="111" spans="2:21" x14ac:dyDescent="0.2">
      <c r="B111" s="35"/>
      <c r="C111" s="29" t="b">
        <v>1</v>
      </c>
      <c r="G111" s="32">
        <v>22</v>
      </c>
      <c r="H111" s="32">
        <v>22</v>
      </c>
      <c r="I111" s="32">
        <v>22</v>
      </c>
      <c r="J111" s="32">
        <v>22</v>
      </c>
      <c r="K111" s="32">
        <v>22</v>
      </c>
      <c r="L111" s="32">
        <v>22</v>
      </c>
      <c r="M111" s="32">
        <v>22</v>
      </c>
      <c r="N111" s="32">
        <v>22</v>
      </c>
      <c r="O111" s="32">
        <v>22</v>
      </c>
      <c r="P111" s="32">
        <v>22</v>
      </c>
      <c r="Q111" s="32">
        <v>22</v>
      </c>
      <c r="R111" s="32">
        <v>22</v>
      </c>
      <c r="S111" s="32"/>
      <c r="U111" s="23">
        <v>2045</v>
      </c>
    </row>
    <row r="112" spans="2:21" x14ac:dyDescent="0.2">
      <c r="B112" s="35"/>
      <c r="C112" s="29" t="b">
        <v>0</v>
      </c>
      <c r="G112" s="32">
        <v>23</v>
      </c>
      <c r="H112" s="32">
        <v>23</v>
      </c>
      <c r="I112" s="32">
        <v>23</v>
      </c>
      <c r="J112" s="32">
        <v>23</v>
      </c>
      <c r="K112" s="32">
        <v>23</v>
      </c>
      <c r="L112" s="32">
        <v>23</v>
      </c>
      <c r="M112" s="32">
        <v>23</v>
      </c>
      <c r="N112" s="32">
        <v>23</v>
      </c>
      <c r="O112" s="32">
        <v>23</v>
      </c>
      <c r="P112" s="32">
        <v>23</v>
      </c>
      <c r="Q112" s="32">
        <v>23</v>
      </c>
      <c r="R112" s="32">
        <v>23</v>
      </c>
      <c r="S112" s="32"/>
      <c r="U112" s="23">
        <v>2046</v>
      </c>
    </row>
    <row r="113" spans="2:21" x14ac:dyDescent="0.2">
      <c r="B113" s="34"/>
      <c r="C113" s="29" t="s">
        <v>12</v>
      </c>
      <c r="G113" s="32">
        <v>24</v>
      </c>
      <c r="H113" s="32">
        <v>24</v>
      </c>
      <c r="I113" s="32">
        <v>24</v>
      </c>
      <c r="J113" s="32">
        <v>24</v>
      </c>
      <c r="K113" s="32">
        <v>24</v>
      </c>
      <c r="L113" s="32">
        <v>24</v>
      </c>
      <c r="M113" s="32">
        <v>24</v>
      </c>
      <c r="N113" s="32">
        <v>24</v>
      </c>
      <c r="O113" s="32">
        <v>24</v>
      </c>
      <c r="P113" s="32">
        <v>24</v>
      </c>
      <c r="Q113" s="32">
        <v>24</v>
      </c>
      <c r="R113" s="32">
        <v>24</v>
      </c>
      <c r="S113" s="32"/>
      <c r="U113" s="23">
        <v>2047</v>
      </c>
    </row>
    <row r="114" spans="2:21" x14ac:dyDescent="0.2">
      <c r="B114" s="34"/>
      <c r="C114" s="29" t="s">
        <v>4</v>
      </c>
      <c r="G114" s="32">
        <v>25</v>
      </c>
      <c r="H114" s="32">
        <v>25</v>
      </c>
      <c r="I114" s="32">
        <v>25</v>
      </c>
      <c r="J114" s="32">
        <v>25</v>
      </c>
      <c r="K114" s="32">
        <v>25</v>
      </c>
      <c r="L114" s="32">
        <v>25</v>
      </c>
      <c r="M114" s="32">
        <v>25</v>
      </c>
      <c r="N114" s="32">
        <v>25</v>
      </c>
      <c r="O114" s="32">
        <v>25</v>
      </c>
      <c r="P114" s="32">
        <v>25</v>
      </c>
      <c r="Q114" s="32">
        <v>25</v>
      </c>
      <c r="R114" s="32">
        <v>25</v>
      </c>
      <c r="S114" s="32"/>
      <c r="U114" s="23">
        <v>2048</v>
      </c>
    </row>
    <row r="115" spans="2:21" x14ac:dyDescent="0.2">
      <c r="B115" s="34"/>
      <c r="C115" s="29" t="b">
        <v>1</v>
      </c>
      <c r="G115" s="32">
        <v>26</v>
      </c>
      <c r="H115" s="32">
        <v>26</v>
      </c>
      <c r="I115" s="32">
        <v>26</v>
      </c>
      <c r="J115" s="32">
        <v>26</v>
      </c>
      <c r="K115" s="32">
        <v>26</v>
      </c>
      <c r="L115" s="32">
        <v>26</v>
      </c>
      <c r="M115" s="32">
        <v>26</v>
      </c>
      <c r="N115" s="32">
        <v>26</v>
      </c>
      <c r="O115" s="32">
        <v>26</v>
      </c>
      <c r="P115" s="32">
        <v>26</v>
      </c>
      <c r="Q115" s="32">
        <v>26</v>
      </c>
      <c r="R115" s="32">
        <v>26</v>
      </c>
      <c r="S115" s="32"/>
      <c r="U115" s="23">
        <v>2049</v>
      </c>
    </row>
    <row r="116" spans="2:21" x14ac:dyDescent="0.2">
      <c r="B116" s="34"/>
      <c r="C116" s="29">
        <v>2025</v>
      </c>
      <c r="G116" s="32">
        <v>27</v>
      </c>
      <c r="H116" s="32">
        <v>27</v>
      </c>
      <c r="I116" s="32">
        <v>27</v>
      </c>
      <c r="J116" s="32">
        <v>27</v>
      </c>
      <c r="K116" s="32">
        <v>27</v>
      </c>
      <c r="L116" s="32">
        <v>27</v>
      </c>
      <c r="M116" s="32">
        <v>27</v>
      </c>
      <c r="N116" s="32">
        <v>27</v>
      </c>
      <c r="O116" s="32">
        <v>27</v>
      </c>
      <c r="P116" s="32">
        <v>27</v>
      </c>
      <c r="Q116" s="32">
        <v>27</v>
      </c>
      <c r="R116" s="32">
        <v>27</v>
      </c>
      <c r="S116" s="32"/>
      <c r="U116" s="23">
        <v>2050</v>
      </c>
    </row>
    <row r="117" spans="2:21" x14ac:dyDescent="0.2">
      <c r="B117" s="34"/>
      <c r="C117" s="29">
        <f>IF(HOME_Country=0,0,
IF(
ISERROR(
INDEX(TablePays[Country_Index],MATCH(HOME_Country,TablePays[Country_Names],0))),
INDEX(TablePays[Country_Index],MATCH("Other*",TablePays[Country_Names],0)),
INDEX(TablePays[Country_Index],MATCH(HOME_Country,TablePays[Country_Names],0))))</f>
        <v>0</v>
      </c>
      <c r="G117" s="32">
        <v>28</v>
      </c>
      <c r="H117" s="32">
        <v>28</v>
      </c>
      <c r="I117" s="32">
        <v>28</v>
      </c>
      <c r="J117" s="32">
        <v>28</v>
      </c>
      <c r="K117" s="32">
        <v>28</v>
      </c>
      <c r="L117" s="32">
        <v>28</v>
      </c>
      <c r="M117" s="32">
        <v>28</v>
      </c>
      <c r="N117" s="32">
        <v>28</v>
      </c>
      <c r="O117" s="32">
        <v>28</v>
      </c>
      <c r="P117" s="32">
        <v>28</v>
      </c>
      <c r="Q117" s="32">
        <v>28</v>
      </c>
      <c r="R117" s="32">
        <v>28</v>
      </c>
      <c r="S117" s="32"/>
      <c r="U117" s="23">
        <v>2051</v>
      </c>
    </row>
    <row r="118" spans="2:21" x14ac:dyDescent="0.2">
      <c r="B118" s="34"/>
      <c r="C118" s="29">
        <v>0.74</v>
      </c>
      <c r="G118" s="32">
        <v>29</v>
      </c>
      <c r="H118" s="32" t="str">
        <f>IF(OR(MOD(YearOfList,400)=0,AND(MOD(YearOfList,4)=0,MOD(YearOfList,100)&lt;&gt;0)),29, "")</f>
        <v/>
      </c>
      <c r="I118" s="32">
        <v>29</v>
      </c>
      <c r="J118" s="32">
        <v>29</v>
      </c>
      <c r="K118" s="32">
        <v>29</v>
      </c>
      <c r="L118" s="32">
        <v>29</v>
      </c>
      <c r="M118" s="32">
        <v>29</v>
      </c>
      <c r="N118" s="32">
        <v>29</v>
      </c>
      <c r="O118" s="32">
        <v>29</v>
      </c>
      <c r="P118" s="32">
        <v>29</v>
      </c>
      <c r="Q118" s="32">
        <v>29</v>
      </c>
      <c r="R118" s="32">
        <v>29</v>
      </c>
      <c r="S118" s="32"/>
      <c r="U118" s="23">
        <v>2052</v>
      </c>
    </row>
    <row r="119" spans="2:21" x14ac:dyDescent="0.2">
      <c r="B119" s="34"/>
      <c r="C119" s="29" t="s">
        <v>323</v>
      </c>
      <c r="G119" s="32">
        <v>30</v>
      </c>
      <c r="I119" s="32">
        <v>30</v>
      </c>
      <c r="J119" s="32">
        <v>30</v>
      </c>
      <c r="K119" s="32">
        <v>30</v>
      </c>
      <c r="L119" s="32">
        <v>30</v>
      </c>
      <c r="M119" s="32">
        <v>30</v>
      </c>
      <c r="N119" s="32">
        <v>30</v>
      </c>
      <c r="O119" s="32">
        <v>30</v>
      </c>
      <c r="P119" s="32">
        <v>30</v>
      </c>
      <c r="Q119" s="32">
        <v>30</v>
      </c>
      <c r="R119" s="32">
        <v>30</v>
      </c>
      <c r="S119" s="32"/>
      <c r="U119" s="23">
        <v>2053</v>
      </c>
    </row>
    <row r="120" spans="2:21" x14ac:dyDescent="0.2">
      <c r="B120" s="34"/>
      <c r="C120" s="29">
        <v>6100</v>
      </c>
      <c r="G120" s="32">
        <v>31</v>
      </c>
      <c r="I120" s="32">
        <v>31</v>
      </c>
      <c r="K120" s="32">
        <v>31</v>
      </c>
      <c r="L120" s="32"/>
      <c r="M120" s="32">
        <v>31</v>
      </c>
      <c r="N120" s="32">
        <v>31</v>
      </c>
      <c r="O120" s="32"/>
      <c r="P120" s="32">
        <v>31</v>
      </c>
      <c r="Q120" s="32"/>
      <c r="R120" s="32">
        <v>31</v>
      </c>
      <c r="S120" s="32"/>
      <c r="U120" s="23">
        <v>2054</v>
      </c>
    </row>
    <row r="121" spans="2:21" x14ac:dyDescent="0.2">
      <c r="B121" s="34"/>
      <c r="C121" s="29" t="b">
        <v>1</v>
      </c>
      <c r="L121" s="22"/>
      <c r="M121" s="22"/>
      <c r="N121" s="22"/>
    </row>
    <row r="122" spans="2:21" x14ac:dyDescent="0.2">
      <c r="B122" s="34"/>
      <c r="C122" s="29" t="b">
        <v>1</v>
      </c>
      <c r="L122" s="22"/>
      <c r="M122" s="22"/>
      <c r="N122" s="22"/>
    </row>
    <row r="123" spans="2:21" x14ac:dyDescent="0.2">
      <c r="B123" s="34"/>
      <c r="C123" s="29" t="b">
        <v>1</v>
      </c>
      <c r="J123"/>
      <c r="L123" s="22"/>
      <c r="M123" s="22"/>
      <c r="N123" s="22"/>
    </row>
    <row r="124" spans="2:21" x14ac:dyDescent="0.2">
      <c r="B124" s="34"/>
      <c r="C124" s="29" t="b">
        <v>1</v>
      </c>
      <c r="L124" s="22"/>
      <c r="M124" s="22"/>
      <c r="N124" s="22"/>
    </row>
    <row r="125" spans="2:21" x14ac:dyDescent="0.2">
      <c r="B125" s="34"/>
      <c r="C125" s="29" t="b">
        <v>1</v>
      </c>
      <c r="L125" s="22"/>
      <c r="M125" s="22"/>
      <c r="N125" s="22"/>
    </row>
    <row r="126" spans="2:21" x14ac:dyDescent="0.2">
      <c r="B126" s="34"/>
      <c r="C126" s="29" t="b">
        <v>1</v>
      </c>
      <c r="L126" s="22"/>
      <c r="M126" s="22"/>
      <c r="N126" s="22"/>
    </row>
    <row r="127" spans="2:21" x14ac:dyDescent="0.2">
      <c r="B127" s="34"/>
      <c r="C127" s="29" t="str">
        <f>IF(OR(IndexZone=3,IndexZone=8,IndexZone=10),"49025-7301681",IF(IndexZone=5,"49025-5204770","49025-5204770"))</f>
        <v>49025-5204770</v>
      </c>
      <c r="D127" s="32" t="s">
        <v>130</v>
      </c>
      <c r="L127" s="22"/>
      <c r="M127" s="22"/>
      <c r="N127" s="22"/>
    </row>
    <row r="128" spans="2:21" x14ac:dyDescent="0.2">
      <c r="B128" s="34"/>
      <c r="C128" s="29" t="str">
        <f>IF(Francais,
"TD Canada Trust " &amp; REPT(" ",12) &amp; "
Banque #: 004 " &amp; REPT(" ",4) &amp; " Compte #: " &amp; AccountNumber &amp; "
Code Swift: TDOMCATTTOR " &amp; REPT(" ",9) &amp; "Bénéficiaire: Regent Instruments Inc.
Addresse:    3400 Chemin Quatre-Bourgeois, Québec, QC, G1W 2L3, CANADA",
"TD Canada Trust " &amp; "
Bank #: 004" &amp; REPT(" ",4) &amp; "Account #: " &amp; AccountNumber &amp; "
Swift code: TDOMCATTTOR " &amp; REPT(" ",10) &amp; "Beneficiary: Regent Instruments Inc.
Address:    3400 Chemin Quatre-Bourgeois, Quebec, QC, G1W 2L3, CANADA")</f>
        <v>TD Canada Trust 
Bank #: 004    Account #: 49025-5204770
Swift code: TDOMCATTTOR           Beneficiary: Regent Instruments Inc.
Address:    3400 Chemin Quatre-Bourgeois, Quebec, QC, G1W 2L3, CANADA</v>
      </c>
      <c r="L128" s="22"/>
      <c r="M128" s="22"/>
      <c r="N128" s="22"/>
    </row>
    <row r="129" spans="2:33" x14ac:dyDescent="0.2">
      <c r="B129" s="34"/>
      <c r="C129" s="29" t="b">
        <v>0</v>
      </c>
      <c r="L129" s="22"/>
      <c r="M129" s="22"/>
      <c r="N129" s="22"/>
    </row>
    <row r="130" spans="2:33" x14ac:dyDescent="0.2">
      <c r="B130" s="34"/>
      <c r="C130" s="29" t="b">
        <v>1</v>
      </c>
      <c r="L130" s="22"/>
      <c r="M130" s="22"/>
      <c r="N130" s="22"/>
    </row>
    <row r="131" spans="2:33" x14ac:dyDescent="0.2">
      <c r="B131" s="34"/>
      <c r="C131" s="29" t="b">
        <v>0</v>
      </c>
      <c r="L131" s="22"/>
      <c r="M131" s="22"/>
      <c r="N131" s="22"/>
    </row>
    <row r="132" spans="2:33" x14ac:dyDescent="0.2">
      <c r="B132" s="34"/>
      <c r="C132" s="29">
        <v>100</v>
      </c>
      <c r="L132" s="22"/>
      <c r="M132" s="22"/>
      <c r="N132" s="22"/>
    </row>
    <row r="133" spans="2:33" x14ac:dyDescent="0.2">
      <c r="B133" s="34"/>
      <c r="C133" s="29" t="e">
        <f>IF(SHIP_Country_Index=22,
"OTHER",INDEX(TablePays[Code Facture],MATCH(HOME_Country,TablePays[Country_Names],0)))</f>
        <v>#N/A</v>
      </c>
      <c r="L133" s="22"/>
      <c r="M133" s="22"/>
      <c r="N133" s="22"/>
    </row>
    <row r="134" spans="2:33" x14ac:dyDescent="0.2">
      <c r="B134" s="34"/>
      <c r="C134" s="29">
        <f>IF(OR(
   AND(HOME_Country=           "Hong Kong",
              HOME_Country_Ship="China"),
   AND(HOME_Country=           "China",
              HOME_Country_Ship="Hong Kong"),
    OR(HOME_Country="",HOME_Country_Ship="")),
0,
IF(HOME_Country&lt;&gt;HOME_Country_Ship,1,0))</f>
        <v>0</v>
      </c>
      <c r="L134" s="22"/>
      <c r="M134" s="22"/>
      <c r="N134" s="22"/>
    </row>
    <row r="135" spans="2:33" x14ac:dyDescent="0.2">
      <c r="B135" s="34"/>
      <c r="C135" s="719">
        <v>0.5</v>
      </c>
      <c r="L135" s="22"/>
      <c r="M135" s="22"/>
      <c r="N135" s="22"/>
    </row>
    <row r="136" spans="2:33" x14ac:dyDescent="0.2">
      <c r="B136" s="34"/>
      <c r="C136" s="29" t="s">
        <v>787</v>
      </c>
      <c r="L136" s="22"/>
      <c r="M136" s="22"/>
      <c r="N136" s="22"/>
    </row>
    <row r="137" spans="2:33" x14ac:dyDescent="0.2">
      <c r="B137" s="34"/>
      <c r="C137" s="29"/>
      <c r="L137" s="22"/>
      <c r="M137" s="22"/>
      <c r="N137" s="22"/>
    </row>
    <row r="138" spans="2:33" x14ac:dyDescent="0.2">
      <c r="B138" s="34"/>
      <c r="C138" s="29"/>
      <c r="L138" s="22"/>
      <c r="M138" s="22"/>
      <c r="N138" s="22"/>
    </row>
    <row r="139" spans="2:33" x14ac:dyDescent="0.2">
      <c r="B139" s="34"/>
      <c r="C139" s="29"/>
      <c r="L139" s="22"/>
      <c r="M139" s="22"/>
      <c r="N139" s="22"/>
    </row>
    <row r="140" spans="2:33" x14ac:dyDescent="0.2">
      <c r="B140" s="34"/>
      <c r="C140" s="29"/>
      <c r="L140" s="22"/>
      <c r="M140" s="22"/>
      <c r="N140" s="22"/>
    </row>
    <row r="141" spans="2:33" x14ac:dyDescent="0.2">
      <c r="B141" s="34"/>
      <c r="C141" s="29"/>
      <c r="L141" s="22"/>
      <c r="M141" s="22"/>
      <c r="N141" s="22"/>
    </row>
    <row r="142" spans="2:33" x14ac:dyDescent="0.2">
      <c r="L142" s="22"/>
      <c r="M142" s="22"/>
      <c r="N142" s="22"/>
    </row>
    <row r="143" spans="2:33" x14ac:dyDescent="0.2">
      <c r="B143" s="26" t="s">
        <v>253</v>
      </c>
      <c r="C143" s="26" t="s">
        <v>7</v>
      </c>
      <c r="D143" s="23" t="s">
        <v>908</v>
      </c>
      <c r="E143" s="23" t="s">
        <v>909</v>
      </c>
      <c r="F143" s="23" t="s">
        <v>910</v>
      </c>
      <c r="G143" s="23" t="s">
        <v>911</v>
      </c>
      <c r="H143" s="23" t="s">
        <v>912</v>
      </c>
      <c r="I143" s="22" t="s">
        <v>913</v>
      </c>
      <c r="J143" s="23" t="s">
        <v>914</v>
      </c>
      <c r="K143" s="32" t="s">
        <v>915</v>
      </c>
      <c r="L143" s="23" t="s">
        <v>916</v>
      </c>
      <c r="M143" s="32" t="s">
        <v>917</v>
      </c>
      <c r="N143" s="23" t="s">
        <v>918</v>
      </c>
      <c r="O143" s="23" t="s">
        <v>919</v>
      </c>
      <c r="P143" s="23" t="s">
        <v>920</v>
      </c>
      <c r="Q143" s="23" t="s">
        <v>921</v>
      </c>
      <c r="R143" s="23" t="s">
        <v>922</v>
      </c>
      <c r="S143" s="23" t="s">
        <v>923</v>
      </c>
      <c r="T143" s="23" t="s">
        <v>924</v>
      </c>
      <c r="AA143" s="23"/>
      <c r="AG143"/>
    </row>
    <row r="144" spans="2:33" x14ac:dyDescent="0.2">
      <c r="B144" s="12">
        <v>0</v>
      </c>
      <c r="C144" s="12">
        <v>0</v>
      </c>
      <c r="D144" s="1"/>
      <c r="E144" s="1"/>
      <c r="F144" s="1" t="s">
        <v>42</v>
      </c>
      <c r="G144" s="1">
        <v>0.05</v>
      </c>
      <c r="H144" s="1"/>
      <c r="I144" s="1" t="s">
        <v>148</v>
      </c>
      <c r="J144" s="400">
        <v>0</v>
      </c>
      <c r="K144" s="402">
        <v>0</v>
      </c>
      <c r="L144" s="401">
        <v>0</v>
      </c>
      <c r="M144" s="399">
        <v>0</v>
      </c>
      <c r="N144" s="1" t="str">
        <f>IF(Francais,"Système STD4800 Avec Scanner","System With STD4800 Scanner")</f>
        <v>System With STD4800 Scanner</v>
      </c>
      <c r="O144" s="1" t="str">
        <f>IF(Francais,"Système STD4800 Avec Scanner","System With STD4800 Scanner")</f>
        <v>System With STD4800 Scanner</v>
      </c>
      <c r="P144" s="1" t="str">
        <f>IF(Francais,"Système STD4800 Avec Scanner","System With STD4800 Scanner")</f>
        <v>System With STD4800 Scanner</v>
      </c>
      <c r="Q144" s="1">
        <v>1</v>
      </c>
      <c r="R144" s="1">
        <v>1</v>
      </c>
      <c r="S144" s="1" t="s">
        <v>224</v>
      </c>
      <c r="T144" s="22" t="str">
        <f>IF(Francais,"24 MP DSLR","24 MP DSLR")</f>
        <v>24 MP DSLR</v>
      </c>
      <c r="AA144" s="23"/>
      <c r="AG144"/>
    </row>
    <row r="145" spans="2:33" x14ac:dyDescent="0.2">
      <c r="B145" s="12">
        <v>1</v>
      </c>
      <c r="C145" s="12">
        <v>1</v>
      </c>
      <c r="D145" s="1"/>
      <c r="E145" s="1"/>
      <c r="F145" s="1" t="s">
        <v>43</v>
      </c>
      <c r="G145" s="1">
        <v>0.05</v>
      </c>
      <c r="H145" s="1"/>
      <c r="I145" s="1" t="s">
        <v>147</v>
      </c>
      <c r="J145" s="400">
        <v>1</v>
      </c>
      <c r="K145" s="402">
        <f>IF(QUOTE_SameClient=TRUE,TableLists[[#This Row],[Column9]],1)</f>
        <v>1</v>
      </c>
      <c r="L145" s="401">
        <v>0.2</v>
      </c>
      <c r="M145" s="399">
        <f>IF(QUOTE_SameClient=TRUE,TableLists[[#This Row],[Column11]],1)</f>
        <v>0.2</v>
      </c>
      <c r="N145" s="472" t="str">
        <f>IF(Francais,"Système LA2400 Avec Scanner","System With LA2400 Scanner")</f>
        <v>System With LA2400 Scanner</v>
      </c>
      <c r="O145" s="472" t="str">
        <f>IF(Francais,"Système LA2400 Avec Scanner et LS","System With LA2400 Scanner and SLS")</f>
        <v>System With LA2400 Scanner and SLS</v>
      </c>
      <c r="P145" s="472" t="str">
        <f>IF(Francais,"Système LA2400 Avec Scanner","System With LA2400 Scanner")</f>
        <v>System With LA2400 Scanner</v>
      </c>
      <c r="Q145" s="1">
        <v>2</v>
      </c>
      <c r="R145" s="1">
        <v>2</v>
      </c>
      <c r="S145" s="1" t="s">
        <v>225</v>
      </c>
      <c r="T145" s="22" t="str">
        <f>IF(Francais,"24 MP Mini","24 MP Mini")</f>
        <v>24 MP Mini</v>
      </c>
      <c r="AA145" s="32"/>
      <c r="AG145"/>
    </row>
    <row r="146" spans="2:33" x14ac:dyDescent="0.2">
      <c r="B146" s="12">
        <v>2</v>
      </c>
      <c r="C146" s="12">
        <v>2</v>
      </c>
      <c r="D146" s="1"/>
      <c r="E146" s="1"/>
      <c r="F146" s="1" t="s">
        <v>44</v>
      </c>
      <c r="G146" s="1">
        <v>0.05</v>
      </c>
      <c r="H146" s="1"/>
      <c r="I146" s="1" t="s">
        <v>147</v>
      </c>
      <c r="J146" s="400">
        <v>0.9</v>
      </c>
      <c r="K146" s="402">
        <f>IF(QUOTE_SameClient=TRUE,TableLists[[#This Row],[Column9]],1)</f>
        <v>0.9</v>
      </c>
      <c r="L146" s="401">
        <v>0.4</v>
      </c>
      <c r="M146" s="399">
        <f>IF(QUOTE_SameClient=TRUE,TableLists[[#This Row],[Column11]],1)</f>
        <v>0.4</v>
      </c>
      <c r="N146" s="472" t="str">
        <f>IF(Francais,"Système LA2400 Avec Scanner et LS","System With LA2400 Scanner and SLS")</f>
        <v>System With LA2400 Scanner and SLS</v>
      </c>
      <c r="O146" s="1" t="str">
        <f>IF(Francais,"Système Sans Scanner (STD)","System Without Scanner (STD)")</f>
        <v>System Without Scanner (STD)</v>
      </c>
      <c r="P146" s="472" t="str">
        <f>IF(Francais,"Système LA2400 Avec Scanner et LS","System With LA2400 Scanner and SLS")</f>
        <v>System With LA2400 Scanner and SLS</v>
      </c>
      <c r="Q146" s="1">
        <v>3</v>
      </c>
      <c r="R146" s="1">
        <v>3</v>
      </c>
      <c r="S146" s="1" t="s">
        <v>226</v>
      </c>
      <c r="T146" s="22"/>
      <c r="AA146" s="32"/>
      <c r="AG146"/>
    </row>
    <row r="147" spans="2:33" x14ac:dyDescent="0.2">
      <c r="B147" s="12">
        <v>3</v>
      </c>
      <c r="C147" s="12">
        <v>3</v>
      </c>
      <c r="D147" s="1"/>
      <c r="E147" s="1"/>
      <c r="F147" s="1" t="s">
        <v>45</v>
      </c>
      <c r="G147" s="1"/>
      <c r="H147" s="1">
        <v>0.15</v>
      </c>
      <c r="I147" s="1">
        <v>601</v>
      </c>
      <c r="J147" s="400">
        <v>0.8</v>
      </c>
      <c r="K147" s="402">
        <f>IF(QUOTE_SameClient=TRUE,TableLists[[#This Row],[Column9]],1)</f>
        <v>0.8</v>
      </c>
      <c r="L147" s="401">
        <v>0.6</v>
      </c>
      <c r="M147" s="399">
        <f>IF(QUOTE_SameClient=TRUE,TableLists[[#This Row],[Column11]],1)</f>
        <v>0.6</v>
      </c>
      <c r="N147" s="1" t="str">
        <f>IF(Francais,"Système Sans Scanner","System Without Scanner")</f>
        <v>System Without Scanner</v>
      </c>
      <c r="O147" s="1" t="str">
        <f>IF(Francais,"Système Sans Scanner (LA)","System Without Scanner (LA)")</f>
        <v>System Without Scanner (LA)</v>
      </c>
      <c r="P147" s="1" t="str">
        <f>IF(Francais,"Système Sans Scanner (STD)","System Without Scanner (STD)")</f>
        <v>System Without Scanner (STD)</v>
      </c>
      <c r="Q147" s="1">
        <v>4</v>
      </c>
      <c r="R147" s="1">
        <v>4</v>
      </c>
      <c r="S147" s="1"/>
      <c r="T147" s="22"/>
      <c r="AA147" s="23"/>
      <c r="AG147"/>
    </row>
    <row r="148" spans="2:33" x14ac:dyDescent="0.2">
      <c r="B148" s="12">
        <v>4</v>
      </c>
      <c r="C148" s="12">
        <v>4</v>
      </c>
      <c r="D148" s="1"/>
      <c r="E148" s="1"/>
      <c r="F148" s="1" t="s">
        <v>46</v>
      </c>
      <c r="G148" s="1"/>
      <c r="H148" s="1">
        <v>0.15</v>
      </c>
      <c r="I148" s="1">
        <v>601</v>
      </c>
      <c r="J148" s="400">
        <v>0.7</v>
      </c>
      <c r="K148" s="402">
        <f>IF(QUOTE_SameClient=TRUE,TableLists[[#This Row],[Column9]],1)</f>
        <v>0.7</v>
      </c>
      <c r="L148" s="401">
        <v>0.6</v>
      </c>
      <c r="M148" s="399">
        <f>IF(QUOTE_SameClient=TRUE,TableLists[[#This Row],[Column11]],1)</f>
        <v>0.6</v>
      </c>
      <c r="N148" s="1"/>
      <c r="O148" s="1"/>
      <c r="P148" s="1" t="str">
        <f>IF(Francais,"Système Sans Scanner (LA)","System Without Scanner (LA)")</f>
        <v>System Without Scanner (LA)</v>
      </c>
      <c r="Q148" s="1">
        <v>1</v>
      </c>
      <c r="R148" s="1">
        <v>5</v>
      </c>
      <c r="S148" s="1"/>
      <c r="T148" s="22"/>
      <c r="AA148" s="23"/>
      <c r="AG148"/>
    </row>
    <row r="149" spans="2:33" x14ac:dyDescent="0.2">
      <c r="B149" s="12"/>
      <c r="C149" s="12">
        <v>5</v>
      </c>
      <c r="D149" s="1"/>
      <c r="E149" s="1"/>
      <c r="F149" s="1" t="s">
        <v>47</v>
      </c>
      <c r="G149" s="1">
        <v>0.05</v>
      </c>
      <c r="H149" s="1"/>
      <c r="I149" s="1">
        <v>605</v>
      </c>
      <c r="J149" s="400">
        <v>0.6</v>
      </c>
      <c r="K149" s="402">
        <f>IF(QUOTE_SameClient=TRUE,TableLists[[#This Row],[Column9]],1)</f>
        <v>0.6</v>
      </c>
      <c r="L149" s="401">
        <v>0.6</v>
      </c>
      <c r="M149" s="399">
        <f>IF(QUOTE_SameClient=TRUE,TableLists[[#This Row],[Column11]],1)</f>
        <v>0.6</v>
      </c>
      <c r="N149" s="1"/>
      <c r="O149" s="1"/>
      <c r="P149" s="1"/>
      <c r="Q149" s="1">
        <v>2</v>
      </c>
      <c r="R149" s="1">
        <v>1</v>
      </c>
      <c r="S149" s="1"/>
      <c r="T149" s="22"/>
      <c r="AA149" s="23"/>
      <c r="AG149"/>
    </row>
    <row r="150" spans="2:33" x14ac:dyDescent="0.2">
      <c r="B150" s="12"/>
      <c r="C150" s="12">
        <v>6</v>
      </c>
      <c r="D150" s="1"/>
      <c r="E150" s="1"/>
      <c r="F150" s="1" t="s">
        <v>48</v>
      </c>
      <c r="G150" s="1"/>
      <c r="H150" s="1">
        <v>0.15</v>
      </c>
      <c r="I150" s="1">
        <v>608</v>
      </c>
      <c r="J150" s="400">
        <v>0.5</v>
      </c>
      <c r="K150" s="402">
        <f>IF(QUOTE_SameClient=TRUE,TableLists[[#This Row],[Column9]],1)</f>
        <v>0.5</v>
      </c>
      <c r="L150" s="401">
        <v>0.6</v>
      </c>
      <c r="M150" s="399">
        <f>IF(QUOTE_SameClient=TRUE,TableLists[[#This Row],[Column11]],1)</f>
        <v>0.6</v>
      </c>
      <c r="N150" s="1"/>
      <c r="O150" s="1"/>
      <c r="P150" s="1"/>
      <c r="Q150" s="1">
        <v>3</v>
      </c>
      <c r="R150" s="1">
        <v>2</v>
      </c>
      <c r="S150" s="1"/>
      <c r="T150" s="22"/>
      <c r="AA150" s="23"/>
      <c r="AG150"/>
    </row>
    <row r="151" spans="2:33" x14ac:dyDescent="0.2">
      <c r="B151" s="1"/>
      <c r="C151" s="1">
        <v>7</v>
      </c>
      <c r="D151" s="1"/>
      <c r="E151" s="1"/>
      <c r="F151" s="1" t="s">
        <v>49</v>
      </c>
      <c r="G151" s="1">
        <v>0.05</v>
      </c>
      <c r="H151" s="1"/>
      <c r="I151" s="1">
        <v>608</v>
      </c>
      <c r="J151" s="400">
        <v>0.4</v>
      </c>
      <c r="K151" s="402">
        <f>IF(QUOTE_SameClient=TRUE,TableLists[[#This Row],[Column9]],1)</f>
        <v>0.4</v>
      </c>
      <c r="L151" s="401">
        <v>0.6</v>
      </c>
      <c r="M151" s="399">
        <f>IF(QUOTE_SameClient=TRUE,TableLists[[#This Row],[Column11]],1)</f>
        <v>0.6</v>
      </c>
      <c r="N151" s="1"/>
      <c r="O151" s="1"/>
      <c r="P151" s="1"/>
      <c r="Q151" s="1">
        <v>4</v>
      </c>
      <c r="R151" s="1">
        <v>3</v>
      </c>
      <c r="S151" s="1"/>
      <c r="T151" s="22"/>
      <c r="AA151" s="23"/>
      <c r="AG151"/>
    </row>
    <row r="152" spans="2:33" x14ac:dyDescent="0.2">
      <c r="B152" s="1"/>
      <c r="C152" s="1">
        <v>8</v>
      </c>
      <c r="D152" s="1"/>
      <c r="E152" s="1"/>
      <c r="F152" s="1" t="s">
        <v>50</v>
      </c>
      <c r="G152" s="1"/>
      <c r="H152" s="1">
        <v>0.13</v>
      </c>
      <c r="I152" s="1">
        <v>607</v>
      </c>
      <c r="J152" s="400">
        <v>0.4</v>
      </c>
      <c r="K152" s="402">
        <f>IF(QUOTE_SameClient=TRUE,TableLists[[#This Row],[Column9]],1)</f>
        <v>0.4</v>
      </c>
      <c r="L152" s="1"/>
      <c r="M152" s="1"/>
      <c r="N152" s="1"/>
      <c r="O152" s="1"/>
      <c r="P152" s="1"/>
      <c r="Q152" s="1">
        <v>1</v>
      </c>
      <c r="R152" s="1">
        <v>4</v>
      </c>
      <c r="S152" s="1"/>
      <c r="T152" s="22"/>
      <c r="AA152" s="23"/>
      <c r="AG152"/>
    </row>
    <row r="153" spans="2:33" x14ac:dyDescent="0.2">
      <c r="B153" s="1"/>
      <c r="C153" s="1">
        <v>9</v>
      </c>
      <c r="D153" s="1"/>
      <c r="E153" s="1"/>
      <c r="F153" s="1" t="s">
        <v>51</v>
      </c>
      <c r="G153" s="1"/>
      <c r="H153" s="1">
        <v>0.15</v>
      </c>
      <c r="I153" s="1">
        <v>607</v>
      </c>
      <c r="J153" s="400">
        <v>0.4</v>
      </c>
      <c r="K153" s="402">
        <f>IF(QUOTE_SameClient=TRUE,TableLists[[#This Row],[Column9]],1)</f>
        <v>0.4</v>
      </c>
      <c r="L153" s="1"/>
      <c r="M153" s="1"/>
      <c r="N153" s="1"/>
      <c r="O153" s="1"/>
      <c r="P153" s="1"/>
      <c r="Q153" s="1">
        <v>2</v>
      </c>
      <c r="R153" s="1">
        <v>5</v>
      </c>
      <c r="S153" s="1"/>
      <c r="T153" s="22"/>
      <c r="AA153" s="23"/>
      <c r="AG153"/>
    </row>
    <row r="154" spans="2:33" x14ac:dyDescent="0.2">
      <c r="B154" s="1"/>
      <c r="C154" s="1">
        <v>10</v>
      </c>
      <c r="D154" s="1"/>
      <c r="E154" s="1"/>
      <c r="F154" s="1" t="s">
        <v>41</v>
      </c>
      <c r="G154" s="1">
        <v>0.05</v>
      </c>
      <c r="H154" s="1">
        <v>9.9750000000000005E-2</v>
      </c>
      <c r="I154" s="1"/>
      <c r="J154" s="400">
        <v>0.4</v>
      </c>
      <c r="K154" s="402">
        <f>IF(QUOTE_SameClient=TRUE,TableLists[[#This Row],[Column9]],1)</f>
        <v>0.4</v>
      </c>
      <c r="L154" s="1"/>
      <c r="M154" s="1"/>
      <c r="N154" s="1"/>
      <c r="O154" s="1"/>
      <c r="P154" s="1"/>
      <c r="Q154" s="1">
        <v>3</v>
      </c>
      <c r="R154" s="1">
        <v>1</v>
      </c>
      <c r="S154" s="1"/>
      <c r="T154" s="22"/>
      <c r="AA154" s="23"/>
      <c r="AG154"/>
    </row>
    <row r="155" spans="2:33" x14ac:dyDescent="0.2">
      <c r="B155" s="1"/>
      <c r="C155" s="1">
        <v>11</v>
      </c>
      <c r="D155" s="1"/>
      <c r="E155" s="1"/>
      <c r="F155" s="1" t="s">
        <v>52</v>
      </c>
      <c r="G155" s="1">
        <v>0.05</v>
      </c>
      <c r="H155" s="1"/>
      <c r="I155" s="1"/>
      <c r="J155" s="400">
        <v>0.4</v>
      </c>
      <c r="K155" s="402">
        <f>IF(QUOTE_SameClient=TRUE,TableLists[[#This Row],[Column9]],1)</f>
        <v>0.4</v>
      </c>
      <c r="L155" s="1"/>
      <c r="M155" s="1"/>
      <c r="N155" s="1"/>
      <c r="O155" s="1"/>
      <c r="P155" s="1"/>
      <c r="Q155" s="1">
        <v>4</v>
      </c>
      <c r="R155" s="1">
        <v>2</v>
      </c>
      <c r="S155" s="1"/>
      <c r="T155" s="22"/>
      <c r="AA155" s="23"/>
      <c r="AG155"/>
    </row>
    <row r="156" spans="2:33" x14ac:dyDescent="0.2">
      <c r="B156" s="1"/>
      <c r="C156" s="1">
        <v>12</v>
      </c>
      <c r="D156" s="1"/>
      <c r="E156" s="1"/>
      <c r="F156" s="1" t="s">
        <v>53</v>
      </c>
      <c r="G156" s="1">
        <v>0.05</v>
      </c>
      <c r="H156" s="1"/>
      <c r="I156" s="1"/>
      <c r="J156" s="400">
        <v>0.4</v>
      </c>
      <c r="K156" s="402">
        <f>IF(QUOTE_SameClient=TRUE,TableLists[[#This Row],[Column9]],1)</f>
        <v>0.4</v>
      </c>
      <c r="L156" s="1"/>
      <c r="M156" s="1"/>
      <c r="N156" s="1"/>
      <c r="O156" s="1"/>
      <c r="P156" s="1"/>
      <c r="Q156" s="1">
        <v>1</v>
      </c>
      <c r="R156" s="1">
        <v>3</v>
      </c>
      <c r="S156" s="1"/>
      <c r="T156" s="22"/>
      <c r="AA156" s="23"/>
      <c r="AG156"/>
    </row>
    <row r="157" spans="2:33" x14ac:dyDescent="0.2">
      <c r="B157" s="1"/>
      <c r="C157" s="1">
        <v>13</v>
      </c>
      <c r="D157" s="1"/>
      <c r="E157" s="1"/>
      <c r="F157" s="1" t="s">
        <v>54</v>
      </c>
      <c r="G157" s="1">
        <f>G154</f>
        <v>0.05</v>
      </c>
      <c r="H157" s="1">
        <f>H154</f>
        <v>9.9750000000000005E-2</v>
      </c>
      <c r="I157" s="1"/>
      <c r="J157" s="400">
        <v>0.4</v>
      </c>
      <c r="K157" s="402">
        <f>IF(QUOTE_SameClient=TRUE,TableLists[[#This Row],[Column9]],1)</f>
        <v>0.4</v>
      </c>
      <c r="L157" s="1"/>
      <c r="M157" s="1"/>
      <c r="N157" s="1"/>
      <c r="O157" s="1"/>
      <c r="P157" s="1"/>
      <c r="Q157" s="1">
        <v>2</v>
      </c>
      <c r="R157" s="1">
        <v>4</v>
      </c>
      <c r="S157" s="1"/>
      <c r="T157" s="22"/>
      <c r="AA157" s="23"/>
      <c r="AG157"/>
    </row>
    <row r="158" spans="2:33" x14ac:dyDescent="0.2">
      <c r="B158" s="1"/>
      <c r="C158" s="1">
        <v>14</v>
      </c>
      <c r="D158" s="1"/>
      <c r="E158" s="1"/>
      <c r="F158" s="1"/>
      <c r="G158" s="1"/>
      <c r="H158" s="1"/>
      <c r="I158" s="1"/>
      <c r="J158" s="400">
        <v>0.4</v>
      </c>
      <c r="K158" s="402">
        <f>IF(QUOTE_SameClient=TRUE,TableLists[[#This Row],[Column9]],1)</f>
        <v>0.4</v>
      </c>
      <c r="L158" s="1"/>
      <c r="M158" s="1"/>
      <c r="N158" s="1"/>
      <c r="O158" s="1"/>
      <c r="P158" s="1"/>
      <c r="Q158" s="1">
        <v>3</v>
      </c>
      <c r="R158" s="1">
        <v>5</v>
      </c>
      <c r="S158" s="1"/>
      <c r="T158" s="22"/>
      <c r="AA158" s="23"/>
      <c r="AG158"/>
    </row>
    <row r="159" spans="2:33" x14ac:dyDescent="0.2">
      <c r="B159" s="1"/>
      <c r="C159" s="1">
        <v>15</v>
      </c>
      <c r="D159" s="1"/>
      <c r="E159" s="1"/>
      <c r="F159" s="1"/>
      <c r="G159" s="1"/>
      <c r="H159" s="1"/>
      <c r="I159" s="1"/>
      <c r="J159" s="400">
        <v>0.4</v>
      </c>
      <c r="K159" s="402">
        <f>IF(QUOTE_SameClient=TRUE,TableLists[[#This Row],[Column9]],1)</f>
        <v>0.4</v>
      </c>
      <c r="L159" s="1"/>
      <c r="M159" s="1"/>
      <c r="N159" s="1"/>
      <c r="O159" s="1"/>
      <c r="P159" s="1"/>
      <c r="Q159" s="1">
        <v>4</v>
      </c>
      <c r="R159" s="1">
        <v>1</v>
      </c>
      <c r="S159" s="1"/>
      <c r="T159" s="22"/>
      <c r="AA159" s="23"/>
      <c r="AG159"/>
    </row>
    <row r="160" spans="2:33" x14ac:dyDescent="0.2">
      <c r="B160" s="1"/>
      <c r="C160" s="1">
        <v>16</v>
      </c>
      <c r="D160" s="1"/>
      <c r="E160" s="1"/>
      <c r="F160" s="1"/>
      <c r="G160" s="1"/>
      <c r="H160" s="1"/>
      <c r="I160" s="1"/>
      <c r="J160" s="400">
        <v>0.4</v>
      </c>
      <c r="K160" s="402">
        <f>IF(QUOTE_SameClient=TRUE,TableLists[[#This Row],[Column9]],1)</f>
        <v>0.4</v>
      </c>
      <c r="L160" s="1"/>
      <c r="M160" s="1"/>
      <c r="N160" s="1"/>
      <c r="O160" s="1"/>
      <c r="P160" s="1"/>
      <c r="Q160" s="1"/>
      <c r="R160" s="1">
        <v>2</v>
      </c>
      <c r="S160" s="1"/>
      <c r="T160" s="22"/>
      <c r="AA160" s="23"/>
      <c r="AG160"/>
    </row>
    <row r="161" spans="2:33" x14ac:dyDescent="0.2">
      <c r="B161" s="1"/>
      <c r="C161" s="1">
        <v>17</v>
      </c>
      <c r="D161" s="1"/>
      <c r="E161" s="1"/>
      <c r="F161" s="1"/>
      <c r="G161" s="1"/>
      <c r="H161" s="1"/>
      <c r="I161" s="1"/>
      <c r="J161" s="400">
        <v>0.4</v>
      </c>
      <c r="K161" s="402">
        <f>IF(QUOTE_SameClient=TRUE,TableLists[[#This Row],[Column9]],1)</f>
        <v>0.4</v>
      </c>
      <c r="L161" s="1"/>
      <c r="M161" s="1"/>
      <c r="N161" s="1"/>
      <c r="O161" s="1"/>
      <c r="P161" s="1"/>
      <c r="Q161" s="1"/>
      <c r="R161" s="1">
        <v>3</v>
      </c>
      <c r="S161" s="1"/>
      <c r="T161" s="22"/>
      <c r="AA161" s="23"/>
      <c r="AG161"/>
    </row>
    <row r="162" spans="2:33" x14ac:dyDescent="0.2">
      <c r="B162" s="1"/>
      <c r="C162" s="1">
        <v>18</v>
      </c>
      <c r="D162" s="1"/>
      <c r="E162" s="1"/>
      <c r="F162" s="1"/>
      <c r="G162" s="1"/>
      <c r="H162" s="1"/>
      <c r="I162" s="1"/>
      <c r="J162" s="400">
        <v>0.4</v>
      </c>
      <c r="K162" s="402">
        <f>IF(QUOTE_SameClient=TRUE,TableLists[[#This Row],[Column9]],1)</f>
        <v>0.4</v>
      </c>
      <c r="L162" s="1"/>
      <c r="M162" s="1"/>
      <c r="N162" s="1"/>
      <c r="O162" s="1"/>
      <c r="P162" s="1"/>
      <c r="Q162" s="1"/>
      <c r="R162" s="1">
        <v>4</v>
      </c>
      <c r="S162" s="1"/>
      <c r="T162" s="22"/>
      <c r="AA162" s="23"/>
      <c r="AG162"/>
    </row>
    <row r="163" spans="2:33" x14ac:dyDescent="0.2">
      <c r="B163" s="1"/>
      <c r="C163" s="1">
        <v>19</v>
      </c>
      <c r="D163" s="1"/>
      <c r="E163" s="1"/>
      <c r="F163" s="1"/>
      <c r="G163" s="1"/>
      <c r="H163" s="1"/>
      <c r="I163" s="1"/>
      <c r="J163" s="400">
        <v>0.4</v>
      </c>
      <c r="K163" s="402">
        <f>IF(QUOTE_SameClient=TRUE,TableLists[[#This Row],[Column9]],1)</f>
        <v>0.4</v>
      </c>
      <c r="L163" s="1"/>
      <c r="M163" s="1"/>
      <c r="N163" s="1"/>
      <c r="O163" s="1"/>
      <c r="P163" s="1"/>
      <c r="Q163" s="1"/>
      <c r="R163" s="1">
        <v>5</v>
      </c>
      <c r="S163" s="1"/>
      <c r="T163" s="22"/>
      <c r="AA163" s="23"/>
      <c r="AG163"/>
    </row>
    <row r="164" spans="2:33" x14ac:dyDescent="0.2">
      <c r="B164" s="1"/>
      <c r="C164" s="1">
        <v>20</v>
      </c>
      <c r="D164" s="1"/>
      <c r="E164" s="1"/>
      <c r="F164" s="1"/>
      <c r="G164" s="1"/>
      <c r="H164" s="1"/>
      <c r="I164" s="1"/>
      <c r="J164" s="400">
        <v>0.4</v>
      </c>
      <c r="K164" s="402">
        <f>IF(QUOTE_SameClient=TRUE,TableLists[[#This Row],[Column9]],1)</f>
        <v>0.4</v>
      </c>
      <c r="L164" s="1"/>
      <c r="M164" s="1"/>
      <c r="N164" s="1"/>
      <c r="O164" s="1"/>
      <c r="P164" s="1"/>
      <c r="Q164" s="1"/>
      <c r="R164" s="1"/>
      <c r="S164" s="1"/>
      <c r="T164" s="22"/>
      <c r="AA164" s="23"/>
      <c r="AG164"/>
    </row>
    <row r="165" spans="2:33" x14ac:dyDescent="0.2">
      <c r="D165" s="25"/>
      <c r="E165" s="25"/>
      <c r="F165" s="25"/>
      <c r="G165" s="25"/>
      <c r="H165" s="25"/>
      <c r="I165" s="25"/>
      <c r="J165" s="25"/>
      <c r="K165" s="25"/>
      <c r="L165" s="33"/>
      <c r="M165" s="33"/>
      <c r="N165" s="33"/>
    </row>
    <row r="166" spans="2:33" x14ac:dyDescent="0.2">
      <c r="B166" s="23" t="s">
        <v>253</v>
      </c>
      <c r="C166" s="32" t="s">
        <v>7</v>
      </c>
      <c r="D166" s="25"/>
      <c r="E166" s="25"/>
      <c r="F166" s="25"/>
      <c r="G166" s="25"/>
      <c r="H166" s="25"/>
      <c r="I166" s="25"/>
      <c r="J166" s="25"/>
      <c r="K166" s="25"/>
    </row>
    <row r="167" spans="2:33" x14ac:dyDescent="0.2">
      <c r="C167" s="17">
        <v>20</v>
      </c>
      <c r="D167" s="25"/>
      <c r="E167" s="25"/>
      <c r="F167" s="25"/>
      <c r="G167" s="25"/>
      <c r="H167" s="25"/>
      <c r="I167" s="25"/>
      <c r="J167" s="25"/>
      <c r="K167" s="25"/>
      <c r="L167" s="22"/>
      <c r="M167" s="22"/>
      <c r="N167" s="22"/>
    </row>
    <row r="168" spans="2:33" x14ac:dyDescent="0.2">
      <c r="C168" s="43">
        <v>0.5</v>
      </c>
      <c r="D168" s="25"/>
      <c r="E168" s="25"/>
      <c r="F168" s="25"/>
      <c r="G168" s="25"/>
      <c r="H168" s="25"/>
      <c r="I168" s="25"/>
      <c r="J168" s="25"/>
      <c r="K168" s="25"/>
      <c r="L168" s="22"/>
      <c r="M168" s="22"/>
      <c r="N168" s="22"/>
    </row>
    <row r="169" spans="2:33" x14ac:dyDescent="0.2">
      <c r="C169" s="17">
        <v>300</v>
      </c>
      <c r="D169" s="25"/>
      <c r="E169" s="25"/>
      <c r="F169" s="25"/>
      <c r="G169" s="25"/>
      <c r="H169" s="25"/>
      <c r="I169" s="25"/>
      <c r="J169" s="25"/>
      <c r="K169" s="25"/>
      <c r="L169" s="33"/>
      <c r="M169" s="33"/>
      <c r="N169" s="33"/>
    </row>
    <row r="170" spans="2:33" x14ac:dyDescent="0.2">
      <c r="C170" s="32">
        <v>100</v>
      </c>
      <c r="D170" s="25"/>
      <c r="E170" s="25"/>
      <c r="F170" s="25"/>
      <c r="G170" s="25"/>
      <c r="H170" s="25"/>
      <c r="I170" s="25"/>
      <c r="J170" s="25"/>
      <c r="K170" s="25"/>
      <c r="L170" s="33"/>
      <c r="M170" s="33"/>
      <c r="N170" s="33"/>
    </row>
    <row r="171" spans="2:33" x14ac:dyDescent="0.2">
      <c r="D171" s="25"/>
      <c r="E171" s="25"/>
      <c r="F171" s="25"/>
      <c r="G171" s="25"/>
      <c r="H171" s="25"/>
      <c r="I171" s="25"/>
      <c r="J171" s="25"/>
      <c r="K171" s="25"/>
      <c r="L171" s="33"/>
      <c r="M171" s="33"/>
      <c r="N171" s="33"/>
    </row>
    <row r="172" spans="2:33" x14ac:dyDescent="0.2">
      <c r="D172" s="25"/>
      <c r="E172" s="25"/>
      <c r="F172" s="25"/>
      <c r="G172" s="25"/>
      <c r="H172" s="25"/>
      <c r="I172" s="25"/>
      <c r="J172" s="25"/>
      <c r="K172" s="25"/>
      <c r="L172" s="33"/>
      <c r="M172" s="33"/>
      <c r="N172" s="33"/>
    </row>
    <row r="173" spans="2:33" x14ac:dyDescent="0.2">
      <c r="B173" s="23" t="s">
        <v>168</v>
      </c>
      <c r="C173" s="814" t="str">
        <f>"Liste de prix interactive d'Instruments Regent " &amp; YearOfList</f>
        <v>Liste de prix interactive d'Instruments Regent 2025</v>
      </c>
      <c r="D173" s="814"/>
      <c r="E173" s="814"/>
      <c r="F173" s="814"/>
      <c r="G173" s="814"/>
      <c r="H173" s="814"/>
      <c r="I173" s="814"/>
      <c r="J173" s="25"/>
      <c r="K173" s="741" t="str">
        <f>REPT(" ",4) &amp; IF(NOT(Francais),"Internet Download","Téléchargement")</f>
        <v xml:space="preserve">    Internet Download</v>
      </c>
      <c r="L173" s="741"/>
      <c r="M173" s="33"/>
      <c r="N173" s="33"/>
    </row>
    <row r="174" spans="2:33" x14ac:dyDescent="0.2">
      <c r="B174" s="23" t="s">
        <v>169</v>
      </c>
      <c r="C174" s="814" t="str">
        <f>"Regent Instruments interactive price list " &amp; YearOfList</f>
        <v>Regent Instruments interactive price list 2025</v>
      </c>
      <c r="D174" s="814"/>
      <c r="E174" s="814"/>
      <c r="F174" s="814"/>
      <c r="G174" s="814"/>
      <c r="H174" s="814"/>
      <c r="I174" s="814"/>
      <c r="J174" s="25"/>
      <c r="K174" s="716" t="s">
        <v>780</v>
      </c>
      <c r="L174" s="33"/>
      <c r="M174" s="33"/>
      <c r="N174" s="33"/>
      <c r="R174" s="716" t="s">
        <v>781</v>
      </c>
    </row>
    <row r="175" spans="2:33" ht="293.25" customHeight="1" x14ac:dyDescent="0.2">
      <c r="B175" s="438" t="s">
        <v>166</v>
      </c>
      <c r="C175" s="813" t="s">
        <v>728</v>
      </c>
      <c r="D175" s="813"/>
      <c r="E175" s="813"/>
      <c r="F175" s="813"/>
      <c r="G175" s="813"/>
      <c r="H175" s="813"/>
      <c r="I175" s="813"/>
      <c r="J175" s="813" t="s">
        <v>728</v>
      </c>
      <c r="K175" s="813"/>
      <c r="L175" s="813"/>
      <c r="M175" s="813"/>
      <c r="N175" s="813"/>
      <c r="O175" s="813"/>
      <c r="P175" s="813"/>
      <c r="Q175" s="813" t="s">
        <v>782</v>
      </c>
      <c r="R175" s="813"/>
      <c r="S175" s="813"/>
      <c r="T175" s="813"/>
      <c r="U175" s="813"/>
      <c r="V175" s="813"/>
      <c r="W175" s="813"/>
    </row>
    <row r="176" spans="2:33" ht="293.25" customHeight="1" x14ac:dyDescent="0.2">
      <c r="B176" s="438" t="s">
        <v>167</v>
      </c>
      <c r="C176" s="813" t="s">
        <v>730</v>
      </c>
      <c r="D176" s="813"/>
      <c r="E176" s="813"/>
      <c r="F176" s="813"/>
      <c r="G176" s="813"/>
      <c r="H176" s="813"/>
      <c r="I176" s="813"/>
      <c r="J176" s="813" t="s">
        <v>730</v>
      </c>
      <c r="K176" s="813"/>
      <c r="L176" s="813"/>
      <c r="M176" s="813"/>
      <c r="N176" s="813"/>
      <c r="O176" s="813"/>
      <c r="P176" s="813"/>
      <c r="Q176" s="813" t="s">
        <v>783</v>
      </c>
      <c r="R176" s="813"/>
      <c r="S176" s="813"/>
      <c r="T176" s="813"/>
      <c r="U176" s="813"/>
      <c r="V176" s="813"/>
      <c r="W176" s="813"/>
    </row>
    <row r="177" spans="2:23" ht="293.25" customHeight="1" x14ac:dyDescent="0.2">
      <c r="B177" s="438" t="s">
        <v>258</v>
      </c>
      <c r="C177" s="813" t="s">
        <v>729</v>
      </c>
      <c r="D177" s="813"/>
      <c r="E177" s="813"/>
      <c r="F177" s="813"/>
      <c r="G177" s="813"/>
      <c r="H177" s="813"/>
      <c r="I177" s="813"/>
      <c r="J177" s="813" t="s">
        <v>729</v>
      </c>
      <c r="K177" s="813"/>
      <c r="L177" s="813"/>
      <c r="M177" s="813"/>
      <c r="N177" s="813"/>
      <c r="O177" s="813"/>
      <c r="P177" s="813"/>
      <c r="Q177" s="813" t="s">
        <v>784</v>
      </c>
      <c r="R177" s="813"/>
      <c r="S177" s="813"/>
      <c r="T177" s="813"/>
      <c r="U177" s="813"/>
      <c r="V177" s="813"/>
      <c r="W177" s="813"/>
    </row>
    <row r="178" spans="2:23" ht="293.25" customHeight="1" x14ac:dyDescent="0.2">
      <c r="B178" s="438" t="s">
        <v>259</v>
      </c>
      <c r="C178" s="813" t="s">
        <v>731</v>
      </c>
      <c r="D178" s="813"/>
      <c r="E178" s="813"/>
      <c r="F178" s="813"/>
      <c r="G178" s="813"/>
      <c r="H178" s="813"/>
      <c r="I178" s="813"/>
      <c r="J178" s="813" t="s">
        <v>731</v>
      </c>
      <c r="K178" s="813"/>
      <c r="L178" s="813"/>
      <c r="M178" s="813"/>
      <c r="N178" s="813"/>
      <c r="O178" s="813"/>
      <c r="P178" s="813"/>
      <c r="Q178" s="813" t="s">
        <v>785</v>
      </c>
      <c r="R178" s="813"/>
      <c r="S178" s="813"/>
      <c r="T178" s="813"/>
      <c r="U178" s="813"/>
      <c r="V178" s="813"/>
      <c r="W178" s="813"/>
    </row>
    <row r="180" spans="2:23" ht="34" x14ac:dyDescent="0.2">
      <c r="B180" s="23" t="s">
        <v>172</v>
      </c>
      <c r="C180" s="449" t="str">
        <f>IF(Francais, "PAIEMENT COMPLET REÇU
Montant dû: 0","PAID IN FULL
Amount due: 0")</f>
        <v>PAID IN FULL
Amount due: 0</v>
      </c>
    </row>
    <row r="182" spans="2:23" ht="17" thickBot="1" x14ac:dyDescent="0.25"/>
    <row r="183" spans="2:23" x14ac:dyDescent="0.2">
      <c r="L183" s="691"/>
      <c r="M183" s="692"/>
      <c r="N183" s="692"/>
      <c r="O183" s="692"/>
      <c r="P183" s="693"/>
    </row>
    <row r="184" spans="2:23" x14ac:dyDescent="0.2">
      <c r="B184" s="23" t="s">
        <v>477</v>
      </c>
      <c r="C184" s="23" t="s">
        <v>476</v>
      </c>
      <c r="D184" s="32" t="s">
        <v>539</v>
      </c>
      <c r="E184" s="32" t="s">
        <v>691</v>
      </c>
      <c r="F184" s="23" t="s">
        <v>744</v>
      </c>
      <c r="H184" s="32" t="s">
        <v>696</v>
      </c>
      <c r="I184" s="32" t="s">
        <v>694</v>
      </c>
      <c r="J184" s="32" t="s">
        <v>695</v>
      </c>
      <c r="L184" s="694"/>
      <c r="M184" s="695" t="s">
        <v>740</v>
      </c>
      <c r="N184" s="695"/>
      <c r="O184" s="695"/>
      <c r="P184" s="696"/>
    </row>
    <row r="185" spans="2:23" x14ac:dyDescent="0.2">
      <c r="B185" s="617" t="s">
        <v>583</v>
      </c>
      <c r="C185" s="617">
        <v>99</v>
      </c>
      <c r="D185" s="617" t="s">
        <v>582</v>
      </c>
      <c r="F185" s="122"/>
      <c r="H185" s="617">
        <f>IF(ISNUMBER(SEARCH(HOME_Country,TablePays[[#This Row],[Country_Names]])),1,0)</f>
        <v>1</v>
      </c>
      <c r="I185" s="32" t="str">
        <f>IF(J185&lt;&gt;"",INDEX(TablePays[Country_Names],J185),"")</f>
        <v>Afghanistan</v>
      </c>
      <c r="J185" s="32">
        <f t="array" ref="J185">IFERROR(MATCH(0,COUNTIF($I$184:I184,TablePays[Country_Names])+IF($H$185:$H$390=0,1,0),0),"")</f>
        <v>1</v>
      </c>
      <c r="L185" s="694"/>
      <c r="M185" s="291" t="s">
        <v>2</v>
      </c>
      <c r="N185" s="697" t="str">
        <f>IF(Francais,"        Dollars Canadiens","Canadian Dollars")</f>
        <v>Canadian Dollars</v>
      </c>
      <c r="O185" s="695"/>
      <c r="P185" s="696"/>
    </row>
    <row r="186" spans="2:23" x14ac:dyDescent="0.2">
      <c r="B186" s="617" t="s">
        <v>611</v>
      </c>
      <c r="C186" s="617">
        <v>99</v>
      </c>
      <c r="D186" s="617" t="s">
        <v>487</v>
      </c>
      <c r="F186" s="122"/>
      <c r="H186" s="617">
        <f>IF(ISNUMBER(SEARCH(HOME_Country,TablePays[[#This Row],[Country_Names]])),1,0)</f>
        <v>1</v>
      </c>
      <c r="I186" s="32" t="str">
        <f>IF(J186&lt;&gt;"",INDEX(TablePays[Country_Names],J186),"")</f>
        <v>Albania</v>
      </c>
      <c r="J186" s="32">
        <f t="array" ref="J186">IFERROR(MATCH(0,COUNTIF($I$184:I185,TablePays[Country_Names])+IF($H$185:$H$390=0,1,0),0),"")</f>
        <v>2</v>
      </c>
      <c r="L186" s="694"/>
      <c r="M186" s="291" t="s">
        <v>3</v>
      </c>
      <c r="N186" s="698" t="s">
        <v>3</v>
      </c>
      <c r="O186" s="695"/>
      <c r="P186" s="696"/>
    </row>
    <row r="187" spans="2:23" x14ac:dyDescent="0.2">
      <c r="B187" s="617" t="s">
        <v>541</v>
      </c>
      <c r="C187" s="617">
        <v>99</v>
      </c>
      <c r="D187" s="617" t="s">
        <v>540</v>
      </c>
      <c r="F187" s="122"/>
      <c r="H187" s="617">
        <f>IF(ISNUMBER(SEARCH(HOME_Country,TablePays[[#This Row],[Country_Names]])),1,0)</f>
        <v>1</v>
      </c>
      <c r="I187" s="32" t="str">
        <f>IF(J187&lt;&gt;"",INDEX(TablePays[Country_Names],J187),"")</f>
        <v>Algeria</v>
      </c>
      <c r="J187" s="32">
        <f t="array" ref="J187">IFERROR(MATCH(0,COUNTIF($I$184:I186,TablePays[Country_Names])+IF($H$185:$H$390=0,1,0),0),"")</f>
        <v>3</v>
      </c>
      <c r="L187" s="694"/>
      <c r="M187" s="291" t="s">
        <v>4</v>
      </c>
      <c r="N187" s="698" t="s">
        <v>741</v>
      </c>
      <c r="O187" s="695"/>
      <c r="P187" s="696"/>
    </row>
    <row r="188" spans="2:23" x14ac:dyDescent="0.2">
      <c r="B188" s="617" t="s">
        <v>612</v>
      </c>
      <c r="C188" s="617">
        <v>99</v>
      </c>
      <c r="D188" s="617" t="s">
        <v>487</v>
      </c>
      <c r="F188" s="122"/>
      <c r="H188" s="617">
        <f>IF(ISNUMBER(SEARCH(HOME_Country,TablePays[[#This Row],[Country_Names]])),1,0)</f>
        <v>1</v>
      </c>
      <c r="I188" s="32" t="str">
        <f>IF(J188&lt;&gt;"",INDEX(TablePays[Country_Names],J188),"")</f>
        <v>Andorra</v>
      </c>
      <c r="J188" s="32">
        <f t="array" ref="J188">IFERROR(MATCH(0,COUNTIF($I$184:I187,TablePays[Country_Names])+IF($H$185:$H$390=0,1,0),0),"")</f>
        <v>4</v>
      </c>
      <c r="L188" s="694"/>
      <c r="M188" s="699"/>
      <c r="N188" s="695"/>
      <c r="O188" s="695"/>
      <c r="P188" s="696"/>
    </row>
    <row r="189" spans="2:23" x14ac:dyDescent="0.2">
      <c r="B189" s="617" t="s">
        <v>542</v>
      </c>
      <c r="C189" s="617">
        <v>99</v>
      </c>
      <c r="D189" s="617" t="s">
        <v>540</v>
      </c>
      <c r="F189" s="122"/>
      <c r="H189" s="617">
        <f>IF(ISNUMBER(SEARCH(HOME_Country,TablePays[[#This Row],[Country_Names]])),1,0)</f>
        <v>1</v>
      </c>
      <c r="I189" s="32" t="str">
        <f>IF(J189&lt;&gt;"",INDEX(TablePays[Country_Names],J189),"")</f>
        <v>Angola</v>
      </c>
      <c r="J189" s="32">
        <f t="array" ref="J189">IFERROR(MATCH(0,COUNTIF($I$184:I188,TablePays[Country_Names])+IF($H$185:$H$390=0,1,0),0),"")</f>
        <v>5</v>
      </c>
      <c r="L189" s="694"/>
      <c r="P189" s="696"/>
    </row>
    <row r="190" spans="2:23" ht="17" thickBot="1" x14ac:dyDescent="0.25">
      <c r="B190" s="617" t="s">
        <v>679</v>
      </c>
      <c r="C190" s="617">
        <v>99</v>
      </c>
      <c r="D190" s="617" t="s">
        <v>678</v>
      </c>
      <c r="F190" s="122"/>
      <c r="H190" s="617">
        <f>IF(ISNUMBER(SEARCH(HOME_Country,TablePays[[#This Row],[Country_Names]])),1,0)</f>
        <v>1</v>
      </c>
      <c r="I190" s="32" t="str">
        <f>IF(J190&lt;&gt;"",INDEX(TablePays[Country_Names],J190),"")</f>
        <v>Antigua and Barbuda</v>
      </c>
      <c r="J190" s="32">
        <f t="array" ref="J190">IFERROR(MATCH(0,COUNTIF($I$184:I189,TablePays[Country_Names])+IF($H$185:$H$390=0,1,0),0),"")</f>
        <v>6</v>
      </c>
      <c r="L190" s="700"/>
      <c r="M190" s="701"/>
      <c r="N190" s="701"/>
      <c r="O190" s="701"/>
      <c r="P190" s="702"/>
    </row>
    <row r="191" spans="2:23" x14ac:dyDescent="0.2">
      <c r="B191" s="122" t="s">
        <v>465</v>
      </c>
      <c r="C191" s="122">
        <v>19</v>
      </c>
      <c r="D191" s="617" t="s">
        <v>689</v>
      </c>
      <c r="E191" s="32">
        <v>1</v>
      </c>
      <c r="F191" s="122" t="s">
        <v>760</v>
      </c>
      <c r="H191" s="617">
        <f>IF(ISNUMBER(SEARCH(HOME_Country,TablePays[[#This Row],[Country_Names]])),1,0)</f>
        <v>1</v>
      </c>
      <c r="I191" s="32" t="str">
        <f>IF(J191&lt;&gt;"",INDEX(TablePays[Country_Names],J191),"")</f>
        <v>Argentina</v>
      </c>
      <c r="J191" s="32">
        <f t="array" ref="J191">IFERROR(MATCH(0,COUNTIF($I$184:I190,TablePays[Country_Names])+IF($H$185:$H$390=0,1,0),0),"")</f>
        <v>7</v>
      </c>
    </row>
    <row r="192" spans="2:23" x14ac:dyDescent="0.2">
      <c r="B192" s="617" t="s">
        <v>613</v>
      </c>
      <c r="C192" s="617">
        <v>99</v>
      </c>
      <c r="D192" s="617" t="s">
        <v>487</v>
      </c>
      <c r="F192" s="122"/>
      <c r="H192" s="617">
        <f>IF(ISNUMBER(SEARCH(HOME_Country,TablePays[[#This Row],[Country_Names]])),1,0)</f>
        <v>1</v>
      </c>
      <c r="I192" s="32" t="str">
        <f>IF(J192&lt;&gt;"",INDEX(TablePays[Country_Names],J192),"")</f>
        <v>Armenia</v>
      </c>
      <c r="J192" s="32">
        <f t="array" ref="J192">IFERROR(MATCH(0,COUNTIF($I$184:I191,TablePays[Country_Names])+IF($H$185:$H$390=0,1,0),0),"")</f>
        <v>8</v>
      </c>
    </row>
    <row r="193" spans="2:10" x14ac:dyDescent="0.2">
      <c r="B193" s="122" t="s">
        <v>295</v>
      </c>
      <c r="C193" s="122">
        <v>16</v>
      </c>
      <c r="D193" s="617" t="s">
        <v>644</v>
      </c>
      <c r="E193" s="32">
        <v>1</v>
      </c>
      <c r="F193" s="122" t="s">
        <v>753</v>
      </c>
      <c r="H193" s="617">
        <f>IF(ISNUMBER(SEARCH(HOME_Country,TablePays[[#This Row],[Country_Names]])),1,0)</f>
        <v>1</v>
      </c>
      <c r="I193" s="32" t="str">
        <f>IF(J193&lt;&gt;"",INDEX(TablePays[Country_Names],J193),"")</f>
        <v>Australia</v>
      </c>
      <c r="J193" s="32">
        <f t="array" ref="J193">IFERROR(MATCH(0,COUNTIF($I$184:I192,TablePays[Country_Names])+IF($H$185:$H$390=0,1,0),0),"")</f>
        <v>9</v>
      </c>
    </row>
    <row r="194" spans="2:10" x14ac:dyDescent="0.2">
      <c r="B194" s="122" t="s">
        <v>440</v>
      </c>
      <c r="C194" s="122">
        <v>6</v>
      </c>
      <c r="D194" s="617" t="s">
        <v>487</v>
      </c>
      <c r="E194" s="32">
        <v>1</v>
      </c>
      <c r="F194" s="122" t="s">
        <v>754</v>
      </c>
      <c r="H194" s="617">
        <f>IF(ISNUMBER(SEARCH(HOME_Country,TablePays[[#This Row],[Country_Names]])),1,0)</f>
        <v>1</v>
      </c>
      <c r="I194" s="32" t="str">
        <f>IF(J194&lt;&gt;"",INDEX(TablePays[Country_Names],J194),"")</f>
        <v>Austria</v>
      </c>
      <c r="J194" s="32">
        <f t="array" ref="J194">IFERROR(MATCH(0,COUNTIF($I$184:I193,TablePays[Country_Names])+IF($H$185:$H$390=0,1,0),0),"")</f>
        <v>10</v>
      </c>
    </row>
    <row r="195" spans="2:10" x14ac:dyDescent="0.2">
      <c r="B195" s="617" t="s">
        <v>614</v>
      </c>
      <c r="C195" s="617">
        <v>99</v>
      </c>
      <c r="D195" s="617" t="s">
        <v>487</v>
      </c>
      <c r="F195" s="122"/>
      <c r="H195" s="617">
        <f>IF(ISNUMBER(SEARCH(HOME_Country,TablePays[[#This Row],[Country_Names]])),1,0)</f>
        <v>1</v>
      </c>
      <c r="I195" s="32" t="str">
        <f>IF(J195&lt;&gt;"",INDEX(TablePays[Country_Names],J195),"")</f>
        <v>Azerbaijan</v>
      </c>
      <c r="J195" s="32">
        <f t="array" ref="J195">IFERROR(MATCH(0,COUNTIF($I$184:I194,TablePays[Country_Names])+IF($H$185:$H$390=0,1,0),0),"")</f>
        <v>11</v>
      </c>
    </row>
    <row r="196" spans="2:10" x14ac:dyDescent="0.2">
      <c r="B196" s="617" t="s">
        <v>632</v>
      </c>
      <c r="C196" s="617">
        <v>99</v>
      </c>
      <c r="D196" s="617" t="s">
        <v>678</v>
      </c>
      <c r="F196" s="122"/>
      <c r="H196" s="617">
        <f>IF(ISNUMBER(SEARCH(HOME_Country,TablePays[[#This Row],[Country_Names]])),1,0)</f>
        <v>1</v>
      </c>
      <c r="I196" s="32" t="str">
        <f>IF(J196&lt;&gt;"",INDEX(TablePays[Country_Names],J196),"")</f>
        <v>Bahamas</v>
      </c>
      <c r="J196" s="32">
        <f t="array" ref="J196">IFERROR(MATCH(0,COUNTIF($I$184:I195,TablePays[Country_Names])+IF($H$185:$H$390=0,1,0),0),"")</f>
        <v>12</v>
      </c>
    </row>
    <row r="197" spans="2:10" x14ac:dyDescent="0.2">
      <c r="B197" s="617" t="s">
        <v>584</v>
      </c>
      <c r="C197" s="617">
        <v>99</v>
      </c>
      <c r="D197" s="617" t="s">
        <v>582</v>
      </c>
      <c r="F197" s="122"/>
      <c r="H197" s="617">
        <f>IF(ISNUMBER(SEARCH(HOME_Country,TablePays[[#This Row],[Country_Names]])),1,0)</f>
        <v>1</v>
      </c>
      <c r="I197" s="32" t="str">
        <f>IF(J197&lt;&gt;"",INDEX(TablePays[Country_Names],J197),"")</f>
        <v>Bahrain</v>
      </c>
      <c r="J197" s="32">
        <f t="array" ref="J197">IFERROR(MATCH(0,COUNTIF($I$184:I196,TablePays[Country_Names])+IF($H$185:$H$390=0,1,0),0),"")</f>
        <v>13</v>
      </c>
    </row>
    <row r="198" spans="2:10" x14ac:dyDescent="0.2">
      <c r="B198" s="617" t="s">
        <v>585</v>
      </c>
      <c r="C198" s="617">
        <v>99</v>
      </c>
      <c r="D198" s="617" t="s">
        <v>582</v>
      </c>
      <c r="F198" s="122"/>
      <c r="H198" s="617">
        <f>IF(ISNUMBER(SEARCH(HOME_Country,TablePays[[#This Row],[Country_Names]])),1,0)</f>
        <v>1</v>
      </c>
      <c r="I198" s="32" t="str">
        <f>IF(J198&lt;&gt;"",INDEX(TablePays[Country_Names],J198),"")</f>
        <v>Bangladesh</v>
      </c>
      <c r="J198" s="32">
        <f t="array" ref="J198">IFERROR(MATCH(0,COUNTIF($I$184:I197,TablePays[Country_Names])+IF($H$185:$H$390=0,1,0),0),"")</f>
        <v>14</v>
      </c>
    </row>
    <row r="199" spans="2:10" x14ac:dyDescent="0.2">
      <c r="B199" s="617" t="s">
        <v>633</v>
      </c>
      <c r="C199" s="617">
        <v>99</v>
      </c>
      <c r="D199" s="617" t="s">
        <v>678</v>
      </c>
      <c r="F199" s="122"/>
      <c r="H199" s="617">
        <f>IF(ISNUMBER(SEARCH(HOME_Country,TablePays[[#This Row],[Country_Names]])),1,0)</f>
        <v>1</v>
      </c>
      <c r="I199" s="32" t="str">
        <f>IF(J199&lt;&gt;"",INDEX(TablePays[Country_Names],J199),"")</f>
        <v>Barbados</v>
      </c>
      <c r="J199" s="32">
        <f t="array" ref="J199">IFERROR(MATCH(0,COUNTIF($I$184:I198,TablePays[Country_Names])+IF($H$185:$H$390=0,1,0),0),"")</f>
        <v>15</v>
      </c>
    </row>
    <row r="200" spans="2:10" x14ac:dyDescent="0.2">
      <c r="B200" s="617" t="s">
        <v>615</v>
      </c>
      <c r="C200" s="617">
        <v>99</v>
      </c>
      <c r="D200" s="617" t="s">
        <v>487</v>
      </c>
      <c r="F200" s="122"/>
      <c r="H200" s="617">
        <f>IF(ISNUMBER(SEARCH(HOME_Country,TablePays[[#This Row],[Country_Names]])),1,0)</f>
        <v>1</v>
      </c>
      <c r="I200" s="32" t="str">
        <f>IF(J200&lt;&gt;"",INDEX(TablePays[Country_Names],J200),"")</f>
        <v>Belarus</v>
      </c>
      <c r="J200" s="32">
        <f t="array" ref="J200">IFERROR(MATCH(0,COUNTIF($I$184:I199,TablePays[Country_Names])+IF($H$185:$H$390=0,1,0),0),"")</f>
        <v>16</v>
      </c>
    </row>
    <row r="201" spans="2:10" x14ac:dyDescent="0.2">
      <c r="B201" s="122" t="s">
        <v>446</v>
      </c>
      <c r="C201" s="122">
        <f>7-1</f>
        <v>6</v>
      </c>
      <c r="D201" s="617" t="s">
        <v>487</v>
      </c>
      <c r="E201" s="32">
        <v>1</v>
      </c>
      <c r="F201" s="122" t="s">
        <v>755</v>
      </c>
      <c r="H201" s="617">
        <f>IF(ISNUMBER(SEARCH(HOME_Country,TablePays[[#This Row],[Country_Names]])),1,0)</f>
        <v>1</v>
      </c>
      <c r="I201" s="32" t="str">
        <f>IF(J201&lt;&gt;"",INDEX(TablePays[Country_Names],J201),"")</f>
        <v>Belgium</v>
      </c>
      <c r="J201" s="32">
        <f t="array" ref="J201">IFERROR(MATCH(0,COUNTIF($I$184:I200,TablePays[Country_Names])+IF($H$185:$H$390=0,1,0),0),"")</f>
        <v>17</v>
      </c>
    </row>
    <row r="202" spans="2:10" x14ac:dyDescent="0.2">
      <c r="B202" s="617" t="s">
        <v>634</v>
      </c>
      <c r="C202" s="617">
        <v>99</v>
      </c>
      <c r="D202" s="617" t="s">
        <v>678</v>
      </c>
      <c r="F202" s="122"/>
      <c r="H202" s="617">
        <f>IF(ISNUMBER(SEARCH(HOME_Country,TablePays[[#This Row],[Country_Names]])),1,0)</f>
        <v>1</v>
      </c>
      <c r="I202" s="32" t="str">
        <f>IF(J202&lt;&gt;"",INDEX(TablePays[Country_Names],J202),"")</f>
        <v>Belize</v>
      </c>
      <c r="J202" s="32">
        <f t="array" ref="J202">IFERROR(MATCH(0,COUNTIF($I$184:I201,TablePays[Country_Names])+IF($H$185:$H$390=0,1,0),0),"")</f>
        <v>18</v>
      </c>
    </row>
    <row r="203" spans="2:10" x14ac:dyDescent="0.2">
      <c r="B203" s="122" t="s">
        <v>472</v>
      </c>
      <c r="C203" s="122">
        <v>20</v>
      </c>
      <c r="D203" s="617" t="s">
        <v>690</v>
      </c>
      <c r="E203" s="32">
        <v>1</v>
      </c>
      <c r="F203" s="122" t="s">
        <v>750</v>
      </c>
      <c r="H203" s="617">
        <f>IF(ISNUMBER(SEARCH(HOME_Country,TablePays[[#This Row],[Country_Names]])),1,0)</f>
        <v>1</v>
      </c>
      <c r="I203" s="32" t="str">
        <f>IF(J203&lt;&gt;"",INDEX(TablePays[Country_Names],J203),"")</f>
        <v>Bengladesh</v>
      </c>
      <c r="J203" s="32">
        <f t="array" ref="J203">IFERROR(MATCH(0,COUNTIF($I$184:I202,TablePays[Country_Names])+IF($H$185:$H$390=0,1,0),0),"")</f>
        <v>19</v>
      </c>
    </row>
    <row r="204" spans="2:10" x14ac:dyDescent="0.2">
      <c r="B204" s="617" t="s">
        <v>543</v>
      </c>
      <c r="C204" s="617">
        <v>99</v>
      </c>
      <c r="D204" s="617" t="s">
        <v>540</v>
      </c>
      <c r="F204" s="122"/>
      <c r="H204" s="617">
        <f>IF(ISNUMBER(SEARCH(HOME_Country,TablePays[[#This Row],[Country_Names]])),1,0)</f>
        <v>1</v>
      </c>
      <c r="I204" s="32" t="str">
        <f>IF(J204&lt;&gt;"",INDEX(TablePays[Country_Names],J204),"")</f>
        <v>Benin</v>
      </c>
      <c r="J204" s="32">
        <f t="array" ref="J204">IFERROR(MATCH(0,COUNTIF($I$184:I203,TablePays[Country_Names])+IF($H$185:$H$390=0,1,0),0),"")</f>
        <v>20</v>
      </c>
    </row>
    <row r="205" spans="2:10" x14ac:dyDescent="0.2">
      <c r="B205" s="617" t="s">
        <v>586</v>
      </c>
      <c r="C205" s="617">
        <v>99</v>
      </c>
      <c r="D205" s="617" t="s">
        <v>582</v>
      </c>
      <c r="F205" s="122"/>
      <c r="H205" s="617">
        <f>IF(ISNUMBER(SEARCH(HOME_Country,TablePays[[#This Row],[Country_Names]])),1,0)</f>
        <v>1</v>
      </c>
      <c r="I205" s="32" t="str">
        <f>IF(J205&lt;&gt;"",INDEX(TablePays[Country_Names],J205),"")</f>
        <v>Bhutan</v>
      </c>
      <c r="J205" s="32">
        <f t="array" ref="J205">IFERROR(MATCH(0,COUNTIF($I$184:I204,TablePays[Country_Names])+IF($H$185:$H$390=0,1,0),0),"")</f>
        <v>21</v>
      </c>
    </row>
    <row r="206" spans="2:10" x14ac:dyDescent="0.2">
      <c r="B206" s="617" t="s">
        <v>654</v>
      </c>
      <c r="C206" s="617">
        <v>99</v>
      </c>
      <c r="D206" s="617" t="s">
        <v>689</v>
      </c>
      <c r="F206" s="122"/>
      <c r="H206" s="617">
        <f>IF(ISNUMBER(SEARCH(HOME_Country,TablePays[[#This Row],[Country_Names]])),1,0)</f>
        <v>1</v>
      </c>
      <c r="I206" s="32" t="str">
        <f>IF(J206&lt;&gt;"",INDEX(TablePays[Country_Names],J206),"")</f>
        <v>Bolivia</v>
      </c>
      <c r="J206" s="32">
        <f t="array" ref="J206">IFERROR(MATCH(0,COUNTIF($I$184:I205,TablePays[Country_Names])+IF($H$185:$H$390=0,1,0),0),"")</f>
        <v>22</v>
      </c>
    </row>
    <row r="207" spans="2:10" x14ac:dyDescent="0.2">
      <c r="B207" s="617" t="s">
        <v>674</v>
      </c>
      <c r="C207" s="617">
        <v>99</v>
      </c>
      <c r="D207" s="617" t="s">
        <v>487</v>
      </c>
      <c r="F207" s="122"/>
      <c r="H207" s="617">
        <f>IF(ISNUMBER(SEARCH(HOME_Country,TablePays[[#This Row],[Country_Names]])),1,0)</f>
        <v>1</v>
      </c>
      <c r="I207" s="32" t="str">
        <f>IF(J207&lt;&gt;"",INDEX(TablePays[Country_Names],J207),"")</f>
        <v>Bosnia and Herzegovina</v>
      </c>
      <c r="J207" s="32">
        <f t="array" ref="J207">IFERROR(MATCH(0,COUNTIF($I$184:I206,TablePays[Country_Names])+IF($H$185:$H$390=0,1,0),0),"")</f>
        <v>23</v>
      </c>
    </row>
    <row r="208" spans="2:10" x14ac:dyDescent="0.2">
      <c r="B208" s="617" t="s">
        <v>544</v>
      </c>
      <c r="C208" s="617">
        <v>99</v>
      </c>
      <c r="D208" s="617" t="s">
        <v>540</v>
      </c>
      <c r="F208" s="122"/>
      <c r="H208" s="617">
        <f>IF(ISNUMBER(SEARCH(HOME_Country,TablePays[[#This Row],[Country_Names]])),1,0)</f>
        <v>1</v>
      </c>
      <c r="I208" s="32" t="str">
        <f>IF(J208&lt;&gt;"",INDEX(TablePays[Country_Names],J208),"")</f>
        <v>Botswana</v>
      </c>
      <c r="J208" s="32">
        <f t="array" ref="J208">IFERROR(MATCH(0,COUNTIF($I$184:I207,TablePays[Country_Names])+IF($H$185:$H$390=0,1,0),0),"")</f>
        <v>24</v>
      </c>
    </row>
    <row r="209" spans="2:10" x14ac:dyDescent="0.2">
      <c r="B209" s="122" t="s">
        <v>467</v>
      </c>
      <c r="C209" s="122">
        <v>19</v>
      </c>
      <c r="D209" s="617" t="s">
        <v>689</v>
      </c>
      <c r="E209" s="32">
        <v>1</v>
      </c>
      <c r="F209" s="122" t="s">
        <v>760</v>
      </c>
      <c r="H209" s="617">
        <f>IF(ISNUMBER(SEARCH(HOME_Country,TablePays[[#This Row],[Country_Names]])),1,0)</f>
        <v>1</v>
      </c>
      <c r="I209" s="32" t="str">
        <f>IF(J209&lt;&gt;"",INDEX(TablePays[Country_Names],J209),"")</f>
        <v>Brazil</v>
      </c>
      <c r="J209" s="32">
        <f t="array" ref="J209">IFERROR(MATCH(0,COUNTIF($I$184:I208,TablePays[Country_Names])+IF($H$185:$H$390=0,1,0),0),"")</f>
        <v>25</v>
      </c>
    </row>
    <row r="210" spans="2:10" x14ac:dyDescent="0.2">
      <c r="B210" s="617" t="s">
        <v>587</v>
      </c>
      <c r="C210" s="617">
        <v>99</v>
      </c>
      <c r="D210" s="617" t="s">
        <v>582</v>
      </c>
      <c r="F210" s="122"/>
      <c r="H210" s="617">
        <f>IF(ISNUMBER(SEARCH(HOME_Country,TablePays[[#This Row],[Country_Names]])),1,0)</f>
        <v>1</v>
      </c>
      <c r="I210" s="32" t="str">
        <f>IF(J210&lt;&gt;"",INDEX(TablePays[Country_Names],J210),"")</f>
        <v>Brunei</v>
      </c>
      <c r="J210" s="32">
        <f t="array" ref="J210">IFERROR(MATCH(0,COUNTIF($I$184:I209,TablePays[Country_Names])+IF($H$185:$H$390=0,1,0),0),"")</f>
        <v>26</v>
      </c>
    </row>
    <row r="211" spans="2:10" x14ac:dyDescent="0.2">
      <c r="B211" s="122" t="s">
        <v>455</v>
      </c>
      <c r="C211" s="122">
        <v>10</v>
      </c>
      <c r="D211" s="617" t="s">
        <v>487</v>
      </c>
      <c r="E211" s="32">
        <v>1</v>
      </c>
      <c r="F211" s="122" t="s">
        <v>758</v>
      </c>
      <c r="H211" s="617">
        <f>IF(ISNUMBER(SEARCH(HOME_Country,TablePays[[#This Row],[Country_Names]])),1,0)</f>
        <v>1</v>
      </c>
      <c r="I211" s="32" t="str">
        <f>IF(J211&lt;&gt;"",INDEX(TablePays[Country_Names],J211),"")</f>
        <v>Bulgaria</v>
      </c>
      <c r="J211" s="32">
        <f t="array" ref="J211">IFERROR(MATCH(0,COUNTIF($I$184:I210,TablePays[Country_Names])+IF($H$185:$H$390=0,1,0),0),"")</f>
        <v>27</v>
      </c>
    </row>
    <row r="212" spans="2:10" x14ac:dyDescent="0.2">
      <c r="B212" s="617" t="s">
        <v>545</v>
      </c>
      <c r="C212" s="617">
        <v>99</v>
      </c>
      <c r="D212" s="617" t="s">
        <v>540</v>
      </c>
      <c r="F212" s="122"/>
      <c r="H212" s="617">
        <f>IF(ISNUMBER(SEARCH(HOME_Country,TablePays[[#This Row],[Country_Names]])),1,0)</f>
        <v>1</v>
      </c>
      <c r="I212" s="32" t="str">
        <f>IF(J212&lt;&gt;"",INDEX(TablePays[Country_Names],J212),"")</f>
        <v>Burkina</v>
      </c>
      <c r="J212" s="32">
        <f t="array" ref="J212">IFERROR(MATCH(0,COUNTIF($I$184:I211,TablePays[Country_Names])+IF($H$185:$H$390=0,1,0),0),"")</f>
        <v>28</v>
      </c>
    </row>
    <row r="213" spans="2:10" x14ac:dyDescent="0.2">
      <c r="B213" s="617" t="s">
        <v>668</v>
      </c>
      <c r="C213" s="617">
        <v>99</v>
      </c>
      <c r="D213" s="617" t="s">
        <v>582</v>
      </c>
      <c r="F213" s="122"/>
      <c r="H213" s="617">
        <f>IF(ISNUMBER(SEARCH(HOME_Country,TablePays[[#This Row],[Country_Names]])),1,0)</f>
        <v>1</v>
      </c>
      <c r="I213" s="32" t="str">
        <f>IF(J213&lt;&gt;"",INDEX(TablePays[Country_Names],J213),"")</f>
        <v>Burma (Myanmar)</v>
      </c>
      <c r="J213" s="32">
        <f t="array" ref="J213">IFERROR(MATCH(0,COUNTIF($I$184:I212,TablePays[Country_Names])+IF($H$185:$H$390=0,1,0),0),"")</f>
        <v>29</v>
      </c>
    </row>
    <row r="214" spans="2:10" x14ac:dyDescent="0.2">
      <c r="B214" s="617" t="s">
        <v>546</v>
      </c>
      <c r="C214" s="617">
        <v>99</v>
      </c>
      <c r="D214" s="617" t="s">
        <v>540</v>
      </c>
      <c r="F214" s="122"/>
      <c r="H214" s="617">
        <f>IF(ISNUMBER(SEARCH(HOME_Country,TablePays[[#This Row],[Country_Names]])),1,0)</f>
        <v>1</v>
      </c>
      <c r="I214" s="32" t="str">
        <f>IF(J214&lt;&gt;"",INDEX(TablePays[Country_Names],J214),"")</f>
        <v>Burundi</v>
      </c>
      <c r="J214" s="32">
        <f t="array" ref="J214">IFERROR(MATCH(0,COUNTIF($I$184:I213,TablePays[Country_Names])+IF($H$185:$H$390=0,1,0),0),"")</f>
        <v>30</v>
      </c>
    </row>
    <row r="215" spans="2:10" x14ac:dyDescent="0.2">
      <c r="B215" s="617" t="s">
        <v>588</v>
      </c>
      <c r="C215" s="617">
        <v>99</v>
      </c>
      <c r="D215" s="617" t="s">
        <v>582</v>
      </c>
      <c r="F215" s="122"/>
      <c r="H215" s="617">
        <f>IF(ISNUMBER(SEARCH(HOME_Country,TablePays[[#This Row],[Country_Names]])),1,0)</f>
        <v>1</v>
      </c>
      <c r="I215" s="32" t="str">
        <f>IF(J215&lt;&gt;"",INDEX(TablePays[Country_Names],J215),"")</f>
        <v>Cambodia</v>
      </c>
      <c r="J215" s="32">
        <f t="array" ref="J215">IFERROR(MATCH(0,COUNTIF($I$184:I214,TablePays[Country_Names])+IF($H$185:$H$390=0,1,0),0),"")</f>
        <v>31</v>
      </c>
    </row>
    <row r="216" spans="2:10" x14ac:dyDescent="0.2">
      <c r="B216" s="617" t="s">
        <v>547</v>
      </c>
      <c r="C216" s="617">
        <v>99</v>
      </c>
      <c r="D216" s="617" t="s">
        <v>540</v>
      </c>
      <c r="F216" s="122"/>
      <c r="H216" s="617">
        <f>IF(ISNUMBER(SEARCH(HOME_Country,TablePays[[#This Row],[Country_Names]])),1,0)</f>
        <v>1</v>
      </c>
      <c r="I216" s="32" t="str">
        <f>IF(J216&lt;&gt;"",INDEX(TablePays[Country_Names],J216),"")</f>
        <v>Cameroon</v>
      </c>
      <c r="J216" s="32">
        <f t="array" ref="J216">IFERROR(MATCH(0,COUNTIF($I$184:I215,TablePays[Country_Names])+IF($H$185:$H$390=0,1,0),0),"")</f>
        <v>32</v>
      </c>
    </row>
    <row r="217" spans="2:10" x14ac:dyDescent="0.2">
      <c r="B217" s="122" t="s">
        <v>6</v>
      </c>
      <c r="C217" s="122">
        <v>1</v>
      </c>
      <c r="D217" s="617" t="s">
        <v>678</v>
      </c>
      <c r="E217" s="32">
        <v>1</v>
      </c>
      <c r="F217" s="122" t="s">
        <v>762</v>
      </c>
      <c r="H217" s="617">
        <f>IF(ISNUMBER(SEARCH(HOME_Country,TablePays[[#This Row],[Country_Names]])),1,0)</f>
        <v>1</v>
      </c>
      <c r="I217" s="32" t="str">
        <f>IF(J217&lt;&gt;"",INDEX(TablePays[Country_Names],J217),"")</f>
        <v>Canada</v>
      </c>
      <c r="J217" s="32">
        <f t="array" ref="J217">IFERROR(MATCH(0,COUNTIF($I$184:I216,TablePays[Country_Names])+IF($H$185:$H$390=0,1,0),0),"")</f>
        <v>33</v>
      </c>
    </row>
    <row r="218" spans="2:10" x14ac:dyDescent="0.2">
      <c r="B218" s="617" t="s">
        <v>661</v>
      </c>
      <c r="C218" s="617">
        <v>99</v>
      </c>
      <c r="D218" s="617" t="s">
        <v>540</v>
      </c>
      <c r="F218" s="122"/>
      <c r="H218" s="617">
        <f>IF(ISNUMBER(SEARCH(HOME_Country,TablePays[[#This Row],[Country_Names]])),1,0)</f>
        <v>1</v>
      </c>
      <c r="I218" s="32" t="str">
        <f>IF(J218&lt;&gt;"",INDEX(TablePays[Country_Names],J218),"")</f>
        <v>Cape Verde</v>
      </c>
      <c r="J218" s="32">
        <f t="array" ref="J218">IFERROR(MATCH(0,COUNTIF($I$184:I217,TablePays[Country_Names])+IF($H$185:$H$390=0,1,0),0),"")</f>
        <v>34</v>
      </c>
    </row>
    <row r="219" spans="2:10" x14ac:dyDescent="0.2">
      <c r="B219" s="617" t="s">
        <v>662</v>
      </c>
      <c r="C219" s="617">
        <v>99</v>
      </c>
      <c r="D219" s="617" t="s">
        <v>540</v>
      </c>
      <c r="F219" s="122"/>
      <c r="H219" s="617">
        <f>IF(ISNUMBER(SEARCH(HOME_Country,TablePays[[#This Row],[Country_Names]])),1,0)</f>
        <v>1</v>
      </c>
      <c r="I219" s="32" t="str">
        <f>IF(J219&lt;&gt;"",INDEX(TablePays[Country_Names],J219),"")</f>
        <v>Central African Republic</v>
      </c>
      <c r="J219" s="32">
        <f t="array" ref="J219">IFERROR(MATCH(0,COUNTIF($I$184:I218,TablePays[Country_Names])+IF($H$185:$H$390=0,1,0),0),"")</f>
        <v>35</v>
      </c>
    </row>
    <row r="220" spans="2:10" x14ac:dyDescent="0.2">
      <c r="B220" s="617" t="s">
        <v>548</v>
      </c>
      <c r="C220" s="617">
        <v>99</v>
      </c>
      <c r="D220" s="617" t="s">
        <v>540</v>
      </c>
      <c r="F220" s="122"/>
      <c r="H220" s="617">
        <f>IF(ISNUMBER(SEARCH(HOME_Country,TablePays[[#This Row],[Country_Names]])),1,0)</f>
        <v>1</v>
      </c>
      <c r="I220" s="32" t="str">
        <f>IF(J220&lt;&gt;"",INDEX(TablePays[Country_Names],J220),"")</f>
        <v>Chad</v>
      </c>
      <c r="J220" s="32">
        <f t="array" ref="J220">IFERROR(MATCH(0,COUNTIF($I$184:I219,TablePays[Country_Names])+IF($H$185:$H$390=0,1,0),0),"")</f>
        <v>36</v>
      </c>
    </row>
    <row r="221" spans="2:10" x14ac:dyDescent="0.2">
      <c r="B221" s="122" t="s">
        <v>296</v>
      </c>
      <c r="C221" s="122">
        <v>19</v>
      </c>
      <c r="D221" s="617" t="s">
        <v>689</v>
      </c>
      <c r="E221" s="32">
        <v>1</v>
      </c>
      <c r="F221" s="122" t="s">
        <v>760</v>
      </c>
      <c r="H221" s="617">
        <f>IF(ISNUMBER(SEARCH(HOME_Country,TablePays[[#This Row],[Country_Names]])),1,0)</f>
        <v>1</v>
      </c>
      <c r="I221" s="32" t="str">
        <f>IF(J221&lt;&gt;"",INDEX(TablePays[Country_Names],J221),"")</f>
        <v>Chile</v>
      </c>
      <c r="J221" s="32">
        <f t="array" ref="J221">IFERROR(MATCH(0,COUNTIF($I$184:I220,TablePays[Country_Names])+IF($H$185:$H$390=0,1,0),0),"")</f>
        <v>37</v>
      </c>
    </row>
    <row r="222" spans="2:10" x14ac:dyDescent="0.2">
      <c r="B222" s="122" t="s">
        <v>461</v>
      </c>
      <c r="C222" s="122">
        <v>14</v>
      </c>
      <c r="D222" s="617" t="s">
        <v>582</v>
      </c>
      <c r="E222" s="32">
        <v>1</v>
      </c>
      <c r="F222" s="122" t="s">
        <v>749</v>
      </c>
      <c r="H222" s="617">
        <f>IF(ISNUMBER(SEARCH(HOME_Country,TablePays[[#This Row],[Country_Names]])),1,0)</f>
        <v>1</v>
      </c>
      <c r="I222" s="32" t="str">
        <f>IF(J222&lt;&gt;"",INDEX(TablePays[Country_Names],J222),"")</f>
        <v>China</v>
      </c>
      <c r="J222" s="32">
        <f t="array" ref="J222">IFERROR(MATCH(0,COUNTIF($I$184:I221,TablePays[Country_Names])+IF($H$185:$H$390=0,1,0),0),"")</f>
        <v>38</v>
      </c>
    </row>
    <row r="223" spans="2:10" x14ac:dyDescent="0.2">
      <c r="B223" s="122" t="s">
        <v>469</v>
      </c>
      <c r="C223" s="122">
        <v>19</v>
      </c>
      <c r="D223" s="617" t="s">
        <v>689</v>
      </c>
      <c r="E223" s="32">
        <v>1</v>
      </c>
      <c r="F223" s="122" t="s">
        <v>759</v>
      </c>
      <c r="H223" s="617">
        <f>IF(ISNUMBER(SEARCH(HOME_Country,TablePays[[#This Row],[Country_Names]])),1,0)</f>
        <v>1</v>
      </c>
      <c r="I223" s="32" t="str">
        <f>IF(J223&lt;&gt;"",INDEX(TablePays[Country_Names],J223),"")</f>
        <v>Colombia</v>
      </c>
      <c r="J223" s="32">
        <f t="array" ref="J223">IFERROR(MATCH(0,COUNTIF($I$184:I222,TablePays[Country_Names])+IF($H$185:$H$390=0,1,0),0),"")</f>
        <v>39</v>
      </c>
    </row>
    <row r="224" spans="2:10" x14ac:dyDescent="0.2">
      <c r="B224" s="617" t="s">
        <v>549</v>
      </c>
      <c r="C224" s="617">
        <v>99</v>
      </c>
      <c r="D224" s="617" t="s">
        <v>540</v>
      </c>
      <c r="F224" s="122"/>
      <c r="H224" s="617">
        <f>IF(ISNUMBER(SEARCH(HOME_Country,TablePays[[#This Row],[Country_Names]])),1,0)</f>
        <v>1</v>
      </c>
      <c r="I224" s="32" t="str">
        <f>IF(J224&lt;&gt;"",INDEX(TablePays[Country_Names],J224),"")</f>
        <v>Comoros</v>
      </c>
      <c r="J224" s="32">
        <f t="array" ref="J224">IFERROR(MATCH(0,COUNTIF($I$184:I223,TablePays[Country_Names])+IF($H$185:$H$390=0,1,0),0),"")</f>
        <v>40</v>
      </c>
    </row>
    <row r="225" spans="2:10" x14ac:dyDescent="0.2">
      <c r="B225" s="617" t="s">
        <v>550</v>
      </c>
      <c r="C225" s="617">
        <v>99</v>
      </c>
      <c r="D225" s="617" t="s">
        <v>540</v>
      </c>
      <c r="F225" s="122"/>
      <c r="H225" s="617">
        <f>IF(ISNUMBER(SEARCH(HOME_Country,TablePays[[#This Row],[Country_Names]])),1,0)</f>
        <v>1</v>
      </c>
      <c r="I225" s="32" t="str">
        <f>IF(J225&lt;&gt;"",INDEX(TablePays[Country_Names],J225),"")</f>
        <v>Congo</v>
      </c>
      <c r="J225" s="32">
        <f t="array" ref="J225">IFERROR(MATCH(0,COUNTIF($I$184:I224,TablePays[Country_Names])+IF($H$185:$H$390=0,1,0),0),"")</f>
        <v>41</v>
      </c>
    </row>
    <row r="226" spans="2:10" x14ac:dyDescent="0.2">
      <c r="B226" s="617" t="s">
        <v>551</v>
      </c>
      <c r="C226" s="617">
        <v>99</v>
      </c>
      <c r="D226" s="617" t="s">
        <v>540</v>
      </c>
      <c r="F226" s="122"/>
      <c r="H226" s="617">
        <f>IF(ISNUMBER(SEARCH(HOME_Country,TablePays[[#This Row],[Country_Names]])),1,0)</f>
        <v>1</v>
      </c>
      <c r="I226" s="32" t="str">
        <f>IF(J226&lt;&gt;"",INDEX(TablePays[Country_Names],J226),"")</f>
        <v>Congo, Democratic Republic of</v>
      </c>
      <c r="J226" s="32">
        <f t="array" ref="J226">IFERROR(MATCH(0,COUNTIF($I$184:I225,TablePays[Country_Names])+IF($H$185:$H$390=0,1,0),0),"")</f>
        <v>42</v>
      </c>
    </row>
    <row r="227" spans="2:10" x14ac:dyDescent="0.2">
      <c r="B227" s="122" t="s">
        <v>468</v>
      </c>
      <c r="C227" s="122">
        <v>19</v>
      </c>
      <c r="D227" s="617" t="s">
        <v>678</v>
      </c>
      <c r="E227" s="32">
        <v>1</v>
      </c>
      <c r="F227" s="122" t="s">
        <v>759</v>
      </c>
      <c r="H227" s="617">
        <f>IF(ISNUMBER(SEARCH(HOME_Country,TablePays[[#This Row],[Country_Names]])),1,0)</f>
        <v>1</v>
      </c>
      <c r="I227" s="32" t="str">
        <f>IF(J227&lt;&gt;"",INDEX(TablePays[Country_Names],J227),"")</f>
        <v>Costa Rica</v>
      </c>
      <c r="J227" s="32">
        <f t="array" ref="J227">IFERROR(MATCH(0,COUNTIF($I$184:I226,TablePays[Country_Names])+IF($H$185:$H$390=0,1,0),0),"")</f>
        <v>43</v>
      </c>
    </row>
    <row r="228" spans="2:10" x14ac:dyDescent="0.2">
      <c r="B228" s="122" t="s">
        <v>456</v>
      </c>
      <c r="C228" s="122">
        <v>10</v>
      </c>
      <c r="D228" s="617" t="s">
        <v>487</v>
      </c>
      <c r="E228" s="32">
        <v>1</v>
      </c>
      <c r="F228" s="122" t="s">
        <v>758</v>
      </c>
      <c r="H228" s="617">
        <f>IF(ISNUMBER(SEARCH(HOME_Country,TablePays[[#This Row],[Country_Names]])),1,0)</f>
        <v>1</v>
      </c>
      <c r="I228" s="32" t="str">
        <f>IF(J228&lt;&gt;"",INDEX(TablePays[Country_Names],J228),"")</f>
        <v>Croatia</v>
      </c>
      <c r="J228" s="32">
        <f t="array" ref="J228">IFERROR(MATCH(0,COUNTIF($I$184:I227,TablePays[Country_Names])+IF($H$185:$H$390=0,1,0),0),"")</f>
        <v>44</v>
      </c>
    </row>
    <row r="229" spans="2:10" x14ac:dyDescent="0.2">
      <c r="B229" s="617" t="s">
        <v>635</v>
      </c>
      <c r="C229" s="617">
        <v>99</v>
      </c>
      <c r="D229" s="617" t="s">
        <v>678</v>
      </c>
      <c r="F229" s="122"/>
      <c r="H229" s="617">
        <f>IF(ISNUMBER(SEARCH(HOME_Country,TablePays[[#This Row],[Country_Names]])),1,0)</f>
        <v>1</v>
      </c>
      <c r="I229" s="32" t="str">
        <f>IF(J229&lt;&gt;"",INDEX(TablePays[Country_Names],J229),"")</f>
        <v>Cuba</v>
      </c>
      <c r="J229" s="32">
        <f t="array" ref="J229">IFERROR(MATCH(0,COUNTIF($I$184:I228,TablePays[Country_Names])+IF($H$185:$H$390=0,1,0),0),"")</f>
        <v>45</v>
      </c>
    </row>
    <row r="230" spans="2:10" x14ac:dyDescent="0.2">
      <c r="B230" s="617" t="s">
        <v>616</v>
      </c>
      <c r="C230" s="617">
        <v>99</v>
      </c>
      <c r="D230" s="617" t="s">
        <v>487</v>
      </c>
      <c r="F230" s="122"/>
      <c r="H230" s="617">
        <f>IF(ISNUMBER(SEARCH(HOME_Country,TablePays[[#This Row],[Country_Names]])),1,0)</f>
        <v>1</v>
      </c>
      <c r="I230" s="32" t="str">
        <f>IF(J230&lt;&gt;"",INDEX(TablePays[Country_Names],J230),"")</f>
        <v>Cyprus</v>
      </c>
      <c r="J230" s="32">
        <f t="array" ref="J230">IFERROR(MATCH(0,COUNTIF($I$184:I229,TablePays[Country_Names])+IF($H$185:$H$390=0,1,0),0),"")</f>
        <v>46</v>
      </c>
    </row>
    <row r="231" spans="2:10" x14ac:dyDescent="0.2">
      <c r="B231" s="617" t="s">
        <v>617</v>
      </c>
      <c r="C231" s="617">
        <v>99</v>
      </c>
      <c r="D231" s="617" t="s">
        <v>487</v>
      </c>
      <c r="F231" s="122"/>
      <c r="H231" s="617">
        <f>IF(ISNUMBER(SEARCH(HOME_Country,TablePays[[#This Row],[Country_Names]])),1,0)</f>
        <v>1</v>
      </c>
      <c r="I231" s="32" t="str">
        <f>IF(J231&lt;&gt;"",INDEX(TablePays[Country_Names],J231),"")</f>
        <v>CZ</v>
      </c>
      <c r="J231" s="32">
        <f t="array" ref="J231">IFERROR(MATCH(0,COUNTIF($I$184:I230,TablePays[Country_Names])+IF($H$185:$H$390=0,1,0),0),"")</f>
        <v>47</v>
      </c>
    </row>
    <row r="232" spans="2:10" x14ac:dyDescent="0.2">
      <c r="B232" s="122" t="s">
        <v>437</v>
      </c>
      <c r="C232" s="122">
        <v>6</v>
      </c>
      <c r="D232" s="617" t="s">
        <v>487</v>
      </c>
      <c r="E232" s="32">
        <v>1</v>
      </c>
      <c r="F232" s="122" t="s">
        <v>754</v>
      </c>
      <c r="H232" s="617">
        <f>IF(ISNUMBER(SEARCH(HOME_Country,TablePays[[#This Row],[Country_Names]])),1,0)</f>
        <v>1</v>
      </c>
      <c r="I232" s="32" t="str">
        <f>IF(J232&lt;&gt;"",INDEX(TablePays[Country_Names],J232),"")</f>
        <v>Czechia</v>
      </c>
      <c r="J232" s="32">
        <f t="array" ref="J232">IFERROR(MATCH(0,COUNTIF($I$184:I231,TablePays[Country_Names])+IF($H$185:$H$390=0,1,0),0),"")</f>
        <v>48</v>
      </c>
    </row>
    <row r="233" spans="2:10" x14ac:dyDescent="0.2">
      <c r="B233" s="122" t="s">
        <v>454</v>
      </c>
      <c r="C233" s="122">
        <f>9-3</f>
        <v>6</v>
      </c>
      <c r="D233" s="617" t="s">
        <v>487</v>
      </c>
      <c r="E233" s="32">
        <v>1</v>
      </c>
      <c r="F233" s="122" t="s">
        <v>757</v>
      </c>
      <c r="H233" s="617">
        <f>IF(ISNUMBER(SEARCH(HOME_Country,TablePays[[#This Row],[Country_Names]])),1,0)</f>
        <v>1</v>
      </c>
      <c r="I233" s="32" t="str">
        <f>IF(J233&lt;&gt;"",INDEX(TablePays[Country_Names],J233),"")</f>
        <v>Denmark</v>
      </c>
      <c r="J233" s="32">
        <f t="array" ref="J233">IFERROR(MATCH(0,COUNTIF($I$184:I232,TablePays[Country_Names])+IF($H$185:$H$390=0,1,0),0),"")</f>
        <v>49</v>
      </c>
    </row>
    <row r="234" spans="2:10" x14ac:dyDescent="0.2">
      <c r="B234" s="617" t="s">
        <v>552</v>
      </c>
      <c r="C234" s="617">
        <v>99</v>
      </c>
      <c r="D234" s="617" t="s">
        <v>540</v>
      </c>
      <c r="F234" s="122"/>
      <c r="H234" s="617">
        <f>IF(ISNUMBER(SEARCH(HOME_Country,TablePays[[#This Row],[Country_Names]])),1,0)</f>
        <v>1</v>
      </c>
      <c r="I234" s="32" t="str">
        <f>IF(J234&lt;&gt;"",INDEX(TablePays[Country_Names],J234),"")</f>
        <v>Djibouti</v>
      </c>
      <c r="J234" s="32">
        <f t="array" ref="J234">IFERROR(MATCH(0,COUNTIF($I$184:I233,TablePays[Country_Names])+IF($H$185:$H$390=0,1,0),0),"")</f>
        <v>50</v>
      </c>
    </row>
    <row r="235" spans="2:10" x14ac:dyDescent="0.2">
      <c r="B235" s="617" t="s">
        <v>636</v>
      </c>
      <c r="C235" s="617">
        <v>99</v>
      </c>
      <c r="D235" s="617" t="s">
        <v>678</v>
      </c>
      <c r="F235" s="122"/>
      <c r="H235" s="617">
        <f>IF(ISNUMBER(SEARCH(HOME_Country,TablePays[[#This Row],[Country_Names]])),1,0)</f>
        <v>1</v>
      </c>
      <c r="I235" s="32" t="str">
        <f>IF(J235&lt;&gt;"",INDEX(TablePays[Country_Names],J235),"")</f>
        <v>Dominica</v>
      </c>
      <c r="J235" s="32">
        <f t="array" ref="J235">IFERROR(MATCH(0,COUNTIF($I$184:I234,TablePays[Country_Names])+IF($H$185:$H$390=0,1,0),0),"")</f>
        <v>51</v>
      </c>
    </row>
    <row r="236" spans="2:10" x14ac:dyDescent="0.2">
      <c r="B236" s="617" t="s">
        <v>680</v>
      </c>
      <c r="C236" s="617">
        <v>99</v>
      </c>
      <c r="D236" s="617" t="s">
        <v>678</v>
      </c>
      <c r="F236" s="122"/>
      <c r="H236" s="617">
        <f>IF(ISNUMBER(SEARCH(HOME_Country,TablePays[[#This Row],[Country_Names]])),1,0)</f>
        <v>1</v>
      </c>
      <c r="I236" s="32" t="str">
        <f>IF(J236&lt;&gt;"",INDEX(TablePays[Country_Names],J236),"")</f>
        <v>Dominican Republic</v>
      </c>
      <c r="J236" s="32">
        <f t="array" ref="J236">IFERROR(MATCH(0,COUNTIF($I$184:I235,TablePays[Country_Names])+IF($H$185:$H$390=0,1,0),0),"")</f>
        <v>52</v>
      </c>
    </row>
    <row r="237" spans="2:10" x14ac:dyDescent="0.2">
      <c r="B237" s="617" t="s">
        <v>669</v>
      </c>
      <c r="C237" s="617">
        <v>99</v>
      </c>
      <c r="D237" s="617" t="s">
        <v>582</v>
      </c>
      <c r="F237" s="122"/>
      <c r="H237" s="617">
        <f>IF(ISNUMBER(SEARCH(HOME_Country,TablePays[[#This Row],[Country_Names]])),1,0)</f>
        <v>1</v>
      </c>
      <c r="I237" s="32" t="str">
        <f>IF(J237&lt;&gt;"",INDEX(TablePays[Country_Names],J237),"")</f>
        <v>East Timor</v>
      </c>
      <c r="J237" s="32">
        <f t="array" ref="J237">IFERROR(MATCH(0,COUNTIF($I$184:I236,TablePays[Country_Names])+IF($H$185:$H$390=0,1,0),0),"")</f>
        <v>53</v>
      </c>
    </row>
    <row r="238" spans="2:10" x14ac:dyDescent="0.2">
      <c r="B238" s="617" t="s">
        <v>655</v>
      </c>
      <c r="C238" s="617">
        <v>99</v>
      </c>
      <c r="D238" s="617" t="s">
        <v>689</v>
      </c>
      <c r="F238" s="122"/>
      <c r="H238" s="617">
        <f>IF(ISNUMBER(SEARCH(HOME_Country,TablePays[[#This Row],[Country_Names]])),1,0)</f>
        <v>1</v>
      </c>
      <c r="I238" s="32" t="str">
        <f>IF(J238&lt;&gt;"",INDEX(TablePays[Country_Names],J238),"")</f>
        <v>Ecuador</v>
      </c>
      <c r="J238" s="32">
        <f t="array" ref="J238">IFERROR(MATCH(0,COUNTIF($I$184:I237,TablePays[Country_Names])+IF($H$185:$H$390=0,1,0),0),"")</f>
        <v>54</v>
      </c>
    </row>
    <row r="239" spans="2:10" x14ac:dyDescent="0.2">
      <c r="B239" s="617" t="s">
        <v>537</v>
      </c>
      <c r="C239" s="617">
        <v>21</v>
      </c>
      <c r="D239" s="617" t="s">
        <v>540</v>
      </c>
      <c r="E239" s="32">
        <v>1</v>
      </c>
      <c r="F239" s="122" t="s">
        <v>745</v>
      </c>
      <c r="H239" s="617">
        <f>IF(ISNUMBER(SEARCH(HOME_Country,TablePays[[#This Row],[Country_Names]])),1,0)</f>
        <v>1</v>
      </c>
      <c r="I239" s="32" t="str">
        <f>IF(J239&lt;&gt;"",INDEX(TablePays[Country_Names],J239),"")</f>
        <v>Egypt</v>
      </c>
      <c r="J239" s="32">
        <f t="array" ref="J239">IFERROR(MATCH(0,COUNTIF($I$184:I238,TablePays[Country_Names])+IF($H$185:$H$390=0,1,0),0),"")</f>
        <v>55</v>
      </c>
    </row>
    <row r="240" spans="2:10" x14ac:dyDescent="0.2">
      <c r="B240" s="617" t="s">
        <v>681</v>
      </c>
      <c r="C240" s="617">
        <v>99</v>
      </c>
      <c r="D240" s="617" t="s">
        <v>678</v>
      </c>
      <c r="F240" s="122"/>
      <c r="H240" s="617">
        <f>IF(ISNUMBER(SEARCH(HOME_Country,TablePays[[#This Row],[Country_Names]])),1,0)</f>
        <v>1</v>
      </c>
      <c r="I240" s="32" t="str">
        <f>IF(J240&lt;&gt;"",INDEX(TablePays[Country_Names],J240),"")</f>
        <v>El Salvador</v>
      </c>
      <c r="J240" s="32">
        <f t="array" ref="J240">IFERROR(MATCH(0,COUNTIF($I$184:I239,TablePays[Country_Names])+IF($H$185:$H$390=0,1,0),0),"")</f>
        <v>56</v>
      </c>
    </row>
    <row r="241" spans="2:10" x14ac:dyDescent="0.2">
      <c r="B241" s="617" t="s">
        <v>663</v>
      </c>
      <c r="C241" s="617">
        <v>99</v>
      </c>
      <c r="D241" s="617" t="s">
        <v>540</v>
      </c>
      <c r="F241" s="122"/>
      <c r="H241" s="617">
        <f>IF(ISNUMBER(SEARCH(HOME_Country,TablePays[[#This Row],[Country_Names]])),1,0)</f>
        <v>1</v>
      </c>
      <c r="I241" s="32" t="str">
        <f>IF(J241&lt;&gt;"",INDEX(TablePays[Country_Names],J241),"")</f>
        <v>Equatorial Guinea</v>
      </c>
      <c r="J241" s="32">
        <f t="array" ref="J241">IFERROR(MATCH(0,COUNTIF($I$184:I240,TablePays[Country_Names])+IF($H$185:$H$390=0,1,0),0),"")</f>
        <v>57</v>
      </c>
    </row>
    <row r="242" spans="2:10" x14ac:dyDescent="0.2">
      <c r="B242" s="617" t="s">
        <v>554</v>
      </c>
      <c r="C242" s="617">
        <v>99</v>
      </c>
      <c r="D242" s="617" t="s">
        <v>540</v>
      </c>
      <c r="F242" s="122"/>
      <c r="H242" s="617">
        <f>IF(ISNUMBER(SEARCH(HOME_Country,TablePays[[#This Row],[Country_Names]])),1,0)</f>
        <v>1</v>
      </c>
      <c r="I242" s="32" t="str">
        <f>IF(J242&lt;&gt;"",INDEX(TablePays[Country_Names],J242),"")</f>
        <v>Eritrea</v>
      </c>
      <c r="J242" s="32">
        <f t="array" ref="J242">IFERROR(MATCH(0,COUNTIF($I$184:I241,TablePays[Country_Names])+IF($H$185:$H$390=0,1,0),0),"")</f>
        <v>58</v>
      </c>
    </row>
    <row r="243" spans="2:10" x14ac:dyDescent="0.2">
      <c r="B243" s="617" t="s">
        <v>618</v>
      </c>
      <c r="C243" s="617">
        <v>99</v>
      </c>
      <c r="D243" s="617" t="s">
        <v>487</v>
      </c>
      <c r="F243" s="122"/>
      <c r="H243" s="617">
        <f>IF(ISNUMBER(SEARCH(HOME_Country,TablePays[[#This Row],[Country_Names]])),1,0)</f>
        <v>1</v>
      </c>
      <c r="I243" s="32" t="str">
        <f>IF(J243&lt;&gt;"",INDEX(TablePays[Country_Names],J243),"")</f>
        <v>Estonia</v>
      </c>
      <c r="J243" s="32">
        <f t="array" ref="J243">IFERROR(MATCH(0,COUNTIF($I$184:I242,TablePays[Country_Names])+IF($H$185:$H$390=0,1,0),0),"")</f>
        <v>59</v>
      </c>
    </row>
    <row r="244" spans="2:10" x14ac:dyDescent="0.2">
      <c r="B244" s="617" t="s">
        <v>535</v>
      </c>
      <c r="C244" s="617">
        <v>21</v>
      </c>
      <c r="D244" s="617" t="s">
        <v>540</v>
      </c>
      <c r="E244" s="32">
        <v>1</v>
      </c>
      <c r="F244" s="122" t="s">
        <v>746</v>
      </c>
      <c r="H244" s="617">
        <f>IF(ISNUMBER(SEARCH(HOME_Country,TablePays[[#This Row],[Country_Names]])),1,0)</f>
        <v>1</v>
      </c>
      <c r="I244" s="32" t="str">
        <f>IF(J244&lt;&gt;"",INDEX(TablePays[Country_Names],J244),"")</f>
        <v>Ethiopia</v>
      </c>
      <c r="J244" s="32">
        <f t="array" ref="J244">IFERROR(MATCH(0,COUNTIF($I$184:I243,TablePays[Country_Names])+IF($H$185:$H$390=0,1,0),0),"")</f>
        <v>60</v>
      </c>
    </row>
    <row r="245" spans="2:10" x14ac:dyDescent="0.2">
      <c r="B245" s="617" t="s">
        <v>645</v>
      </c>
      <c r="C245" s="617">
        <v>99</v>
      </c>
      <c r="D245" s="617" t="s">
        <v>644</v>
      </c>
      <c r="F245" s="122"/>
      <c r="H245" s="617">
        <f>IF(ISNUMBER(SEARCH(HOME_Country,TablePays[[#This Row],[Country_Names]])),1,0)</f>
        <v>1</v>
      </c>
      <c r="I245" s="32" t="str">
        <f>IF(J245&lt;&gt;"",INDEX(TablePays[Country_Names],J245),"")</f>
        <v>Fiji</v>
      </c>
      <c r="J245" s="32">
        <f t="array" ref="J245">IFERROR(MATCH(0,COUNTIF($I$184:I244,TablePays[Country_Names])+IF($H$185:$H$390=0,1,0),0),"")</f>
        <v>61</v>
      </c>
    </row>
    <row r="246" spans="2:10" x14ac:dyDescent="0.2">
      <c r="B246" s="122" t="s">
        <v>453</v>
      </c>
      <c r="C246" s="122">
        <f>9-3</f>
        <v>6</v>
      </c>
      <c r="D246" s="617" t="s">
        <v>487</v>
      </c>
      <c r="E246" s="32">
        <v>1</v>
      </c>
      <c r="F246" s="122" t="s">
        <v>757</v>
      </c>
      <c r="H246" s="617">
        <f>IF(ISNUMBER(SEARCH(HOME_Country,TablePays[[#This Row],[Country_Names]])),1,0)</f>
        <v>1</v>
      </c>
      <c r="I246" s="32" t="str">
        <f>IF(J246&lt;&gt;"",INDEX(TablePays[Country_Names],J246),"")</f>
        <v>Finland</v>
      </c>
      <c r="J246" s="32">
        <f t="array" ref="J246">IFERROR(MATCH(0,COUNTIF($I$184:I245,TablePays[Country_Names])+IF($H$185:$H$390=0,1,0),0),"")</f>
        <v>62</v>
      </c>
    </row>
    <row r="247" spans="2:10" x14ac:dyDescent="0.2">
      <c r="B247" s="122" t="s">
        <v>442</v>
      </c>
      <c r="C247" s="122">
        <f>7-1</f>
        <v>6</v>
      </c>
      <c r="D247" s="617" t="s">
        <v>487</v>
      </c>
      <c r="E247" s="32">
        <v>1</v>
      </c>
      <c r="F247" s="122" t="s">
        <v>755</v>
      </c>
      <c r="H247" s="617">
        <f>IF(ISNUMBER(SEARCH(HOME_Country,TablePays[[#This Row],[Country_Names]])),1,0)</f>
        <v>1</v>
      </c>
      <c r="I247" s="32" t="str">
        <f>IF(J247&lt;&gt;"",INDEX(TablePays[Country_Names],J247),"")</f>
        <v>France</v>
      </c>
      <c r="J247" s="32">
        <f t="array" ref="J247">IFERROR(MATCH(0,COUNTIF($I$184:I246,TablePays[Country_Names])+IF($H$185:$H$390=0,1,0),0),"")</f>
        <v>63</v>
      </c>
    </row>
    <row r="248" spans="2:10" x14ac:dyDescent="0.2">
      <c r="B248" s="617" t="s">
        <v>555</v>
      </c>
      <c r="C248" s="617">
        <v>99</v>
      </c>
      <c r="D248" s="617" t="s">
        <v>540</v>
      </c>
      <c r="F248" s="122"/>
      <c r="H248" s="617">
        <f>IF(ISNUMBER(SEARCH(HOME_Country,TablePays[[#This Row],[Country_Names]])),1,0)</f>
        <v>1</v>
      </c>
      <c r="I248" s="32" t="str">
        <f>IF(J248&lt;&gt;"",INDEX(TablePays[Country_Names],J248),"")</f>
        <v>Gabon</v>
      </c>
      <c r="J248" s="32">
        <f t="array" ref="J248">IFERROR(MATCH(0,COUNTIF($I$184:I247,TablePays[Country_Names])+IF($H$185:$H$390=0,1,0),0),"")</f>
        <v>64</v>
      </c>
    </row>
    <row r="249" spans="2:10" x14ac:dyDescent="0.2">
      <c r="B249" s="617" t="s">
        <v>556</v>
      </c>
      <c r="C249" s="617">
        <v>99</v>
      </c>
      <c r="D249" s="617" t="s">
        <v>540</v>
      </c>
      <c r="F249" s="122"/>
      <c r="H249" s="617">
        <f>IF(ISNUMBER(SEARCH(HOME_Country,TablePays[[#This Row],[Country_Names]])),1,0)</f>
        <v>1</v>
      </c>
      <c r="I249" s="32" t="str">
        <f>IF(J249&lt;&gt;"",INDEX(TablePays[Country_Names],J249),"")</f>
        <v>Gambia</v>
      </c>
      <c r="J249" s="32">
        <f t="array" ref="J249">IFERROR(MATCH(0,COUNTIF($I$184:I248,TablePays[Country_Names])+IF($H$185:$H$390=0,1,0),0),"")</f>
        <v>65</v>
      </c>
    </row>
    <row r="250" spans="2:10" x14ac:dyDescent="0.2">
      <c r="B250" s="617" t="s">
        <v>619</v>
      </c>
      <c r="C250" s="617">
        <v>99</v>
      </c>
      <c r="D250" s="617" t="s">
        <v>487</v>
      </c>
      <c r="F250" s="122"/>
      <c r="H250" s="617">
        <f>IF(ISNUMBER(SEARCH(HOME_Country,TablePays[[#This Row],[Country_Names]])),1,0)</f>
        <v>1</v>
      </c>
      <c r="I250" s="32" t="str">
        <f>IF(J250&lt;&gt;"",INDEX(TablePays[Country_Names],J250),"")</f>
        <v>Georgia</v>
      </c>
      <c r="J250" s="32">
        <f t="array" ref="J250">IFERROR(MATCH(0,COUNTIF($I$184:I249,TablePays[Country_Names])+IF($H$185:$H$390=0,1,0),0),"")</f>
        <v>66</v>
      </c>
    </row>
    <row r="251" spans="2:10" x14ac:dyDescent="0.2">
      <c r="B251" s="122" t="s">
        <v>293</v>
      </c>
      <c r="C251" s="122">
        <v>6</v>
      </c>
      <c r="D251" s="617" t="s">
        <v>487</v>
      </c>
      <c r="E251" s="32">
        <v>1</v>
      </c>
      <c r="F251" s="122" t="s">
        <v>754</v>
      </c>
      <c r="H251" s="617">
        <f>IF(ISNUMBER(SEARCH(HOME_Country,TablePays[[#This Row],[Country_Names]])),1,0)</f>
        <v>1</v>
      </c>
      <c r="I251" s="32" t="str">
        <f>IF(J251&lt;&gt;"",INDEX(TablePays[Country_Names],J251),"")</f>
        <v>Germany</v>
      </c>
      <c r="J251" s="32">
        <f t="array" ref="J251">IFERROR(MATCH(0,COUNTIF($I$184:I250,TablePays[Country_Names])+IF($H$185:$H$390=0,1,0),0),"")</f>
        <v>67</v>
      </c>
    </row>
    <row r="252" spans="2:10" x14ac:dyDescent="0.2">
      <c r="B252" s="617" t="s">
        <v>557</v>
      </c>
      <c r="C252" s="617">
        <v>99</v>
      </c>
      <c r="D252" s="617" t="s">
        <v>540</v>
      </c>
      <c r="F252" s="122"/>
      <c r="H252" s="617">
        <f>IF(ISNUMBER(SEARCH(HOME_Country,TablePays[[#This Row],[Country_Names]])),1,0)</f>
        <v>1</v>
      </c>
      <c r="I252" s="32" t="str">
        <f>IF(J252&lt;&gt;"",INDEX(TablePays[Country_Names],J252),"")</f>
        <v>Ghana</v>
      </c>
      <c r="J252" s="32">
        <f t="array" ref="J252">IFERROR(MATCH(0,COUNTIF($I$184:I251,TablePays[Country_Names])+IF($H$185:$H$390=0,1,0),0),"")</f>
        <v>68</v>
      </c>
    </row>
    <row r="253" spans="2:10" x14ac:dyDescent="0.2">
      <c r="B253" s="122" t="s">
        <v>450</v>
      </c>
      <c r="C253" s="122">
        <f>8-2</f>
        <v>6</v>
      </c>
      <c r="D253" s="617" t="s">
        <v>487</v>
      </c>
      <c r="E253" s="32">
        <v>1</v>
      </c>
      <c r="F253" s="122" t="s">
        <v>758</v>
      </c>
      <c r="H253" s="617">
        <f>IF(ISNUMBER(SEARCH(HOME_Country,TablePays[[#This Row],[Country_Names]])),1,0)</f>
        <v>1</v>
      </c>
      <c r="I253" s="32" t="str">
        <f>IF(J253&lt;&gt;"",INDEX(TablePays[Country_Names],J253),"")</f>
        <v>Greece</v>
      </c>
      <c r="J253" s="32">
        <f t="array" ref="J253">IFERROR(MATCH(0,COUNTIF($I$184:I252,TablePays[Country_Names])+IF($H$185:$H$390=0,1,0),0),"")</f>
        <v>69</v>
      </c>
    </row>
    <row r="254" spans="2:10" x14ac:dyDescent="0.2">
      <c r="B254" s="617" t="s">
        <v>637</v>
      </c>
      <c r="C254" s="617">
        <v>99</v>
      </c>
      <c r="D254" s="617" t="s">
        <v>678</v>
      </c>
      <c r="F254" s="122"/>
      <c r="H254" s="617">
        <f>IF(ISNUMBER(SEARCH(HOME_Country,TablePays[[#This Row],[Country_Names]])),1,0)</f>
        <v>1</v>
      </c>
      <c r="I254" s="32" t="str">
        <f>IF(J254&lt;&gt;"",INDEX(TablePays[Country_Names],J254),"")</f>
        <v>Grenada</v>
      </c>
      <c r="J254" s="32">
        <f t="array" ref="J254">IFERROR(MATCH(0,COUNTIF($I$184:I253,TablePays[Country_Names])+IF($H$185:$H$390=0,1,0),0),"")</f>
        <v>70</v>
      </c>
    </row>
    <row r="255" spans="2:10" x14ac:dyDescent="0.2">
      <c r="B255" s="617" t="s">
        <v>638</v>
      </c>
      <c r="C255" s="617">
        <v>99</v>
      </c>
      <c r="D255" s="617" t="s">
        <v>678</v>
      </c>
      <c r="F255" s="122"/>
      <c r="H255" s="617">
        <f>IF(ISNUMBER(SEARCH(HOME_Country,TablePays[[#This Row],[Country_Names]])),1,0)</f>
        <v>1</v>
      </c>
      <c r="I255" s="32" t="str">
        <f>IF(J255&lt;&gt;"",INDEX(TablePays[Country_Names],J255),"")</f>
        <v>Guatemala</v>
      </c>
      <c r="J255" s="32">
        <f t="array" ref="J255">IFERROR(MATCH(0,COUNTIF($I$184:I254,TablePays[Country_Names])+IF($H$185:$H$390=0,1,0),0),"")</f>
        <v>71</v>
      </c>
    </row>
    <row r="256" spans="2:10" x14ac:dyDescent="0.2">
      <c r="B256" s="617" t="s">
        <v>553</v>
      </c>
      <c r="C256" s="617">
        <v>99</v>
      </c>
      <c r="D256" s="617" t="s">
        <v>540</v>
      </c>
      <c r="F256" s="122"/>
      <c r="H256" s="617">
        <f>IF(ISNUMBER(SEARCH(HOME_Country,TablePays[[#This Row],[Country_Names]])),1,0)</f>
        <v>1</v>
      </c>
      <c r="I256" s="32" t="str">
        <f>IF(J256&lt;&gt;"",INDEX(TablePays[Country_Names],J256),"")</f>
        <v>Guinea</v>
      </c>
      <c r="J256" s="32">
        <f t="array" ref="J256">IFERROR(MATCH(0,COUNTIF($I$184:I255,TablePays[Country_Names])+IF($H$185:$H$390=0,1,0),0),"")</f>
        <v>72</v>
      </c>
    </row>
    <row r="257" spans="2:10" x14ac:dyDescent="0.2">
      <c r="B257" s="617" t="s">
        <v>558</v>
      </c>
      <c r="C257" s="617">
        <v>99</v>
      </c>
      <c r="D257" s="617" t="s">
        <v>540</v>
      </c>
      <c r="F257" s="122"/>
      <c r="H257" s="617">
        <f>IF(ISNUMBER(SEARCH(HOME_Country,TablePays[[#This Row],[Country_Names]])),1,0)</f>
        <v>1</v>
      </c>
      <c r="I257" s="32" t="str">
        <f>IF(J257&lt;&gt;"",INDEX(TablePays[Country_Names],J257),"")</f>
        <v>Guinea-Bissau</v>
      </c>
      <c r="J257" s="32">
        <f t="array" ref="J257">IFERROR(MATCH(0,COUNTIF($I$184:I256,TablePays[Country_Names])+IF($H$185:$H$390=0,1,0),0),"")</f>
        <v>73</v>
      </c>
    </row>
    <row r="258" spans="2:10" x14ac:dyDescent="0.2">
      <c r="B258" s="617" t="s">
        <v>656</v>
      </c>
      <c r="C258" s="617">
        <v>99</v>
      </c>
      <c r="D258" s="617" t="s">
        <v>689</v>
      </c>
      <c r="F258" s="122"/>
      <c r="H258" s="617">
        <f>IF(ISNUMBER(SEARCH(HOME_Country,TablePays[[#This Row],[Country_Names]])),1,0)</f>
        <v>1</v>
      </c>
      <c r="I258" s="32" t="str">
        <f>IF(J258&lt;&gt;"",INDEX(TablePays[Country_Names],J258),"")</f>
        <v>Guyana</v>
      </c>
      <c r="J258" s="32">
        <f t="array" ref="J258">IFERROR(MATCH(0,COUNTIF($I$184:I257,TablePays[Country_Names])+IF($H$185:$H$390=0,1,0),0),"")</f>
        <v>74</v>
      </c>
    </row>
    <row r="259" spans="2:10" x14ac:dyDescent="0.2">
      <c r="B259" s="617" t="s">
        <v>639</v>
      </c>
      <c r="C259" s="617">
        <v>99</v>
      </c>
      <c r="D259" s="617" t="s">
        <v>678</v>
      </c>
      <c r="F259" s="122"/>
      <c r="H259" s="617">
        <f>IF(ISNUMBER(SEARCH(HOME_Country,TablePays[[#This Row],[Country_Names]])),1,0)</f>
        <v>1</v>
      </c>
      <c r="I259" s="32" t="str">
        <f>IF(J259&lt;&gt;"",INDEX(TablePays[Country_Names],J259),"")</f>
        <v>Haiti</v>
      </c>
      <c r="J259" s="32">
        <f t="array" ref="J259">IFERROR(MATCH(0,COUNTIF($I$184:I258,TablePays[Country_Names])+IF($H$185:$H$390=0,1,0),0),"")</f>
        <v>75</v>
      </c>
    </row>
    <row r="260" spans="2:10" x14ac:dyDescent="0.2">
      <c r="B260" s="617" t="s">
        <v>640</v>
      </c>
      <c r="C260" s="617">
        <v>99</v>
      </c>
      <c r="D260" s="617" t="s">
        <v>678</v>
      </c>
      <c r="F260" s="122"/>
      <c r="H260" s="617">
        <f>IF(ISNUMBER(SEARCH(HOME_Country,TablePays[[#This Row],[Country_Names]])),1,0)</f>
        <v>1</v>
      </c>
      <c r="I260" s="32" t="str">
        <f>IF(J260&lt;&gt;"",INDEX(TablePays[Country_Names],J260),"")</f>
        <v>Honduras</v>
      </c>
      <c r="J260" s="32">
        <f t="array" ref="J260">IFERROR(MATCH(0,COUNTIF($I$184:I259,TablePays[Country_Names])+IF($H$185:$H$390=0,1,0),0),"")</f>
        <v>76</v>
      </c>
    </row>
    <row r="261" spans="2:10" x14ac:dyDescent="0.2">
      <c r="B261" s="122" t="s">
        <v>473</v>
      </c>
      <c r="C261" s="122">
        <v>12</v>
      </c>
      <c r="D261" s="617" t="s">
        <v>582</v>
      </c>
      <c r="E261" s="32">
        <v>1</v>
      </c>
      <c r="F261" s="122" t="s">
        <v>749</v>
      </c>
      <c r="H261" s="617">
        <f>IF(ISNUMBER(SEARCH(HOME_Country,TablePays[[#This Row],[Country_Names]])),1,0)</f>
        <v>1</v>
      </c>
      <c r="I261" s="32" t="str">
        <f>IF(J261&lt;&gt;"",INDEX(TablePays[Country_Names],J261),"")</f>
        <v>Hong Kong</v>
      </c>
      <c r="J261" s="32">
        <f t="array" ref="J261">IFERROR(MATCH(0,COUNTIF($I$184:I260,TablePays[Country_Names])+IF($H$185:$H$390=0,1,0),0),"")</f>
        <v>77</v>
      </c>
    </row>
    <row r="262" spans="2:10" x14ac:dyDescent="0.2">
      <c r="B262" s="122" t="s">
        <v>439</v>
      </c>
      <c r="C262" s="122">
        <v>6</v>
      </c>
      <c r="D262" s="617" t="s">
        <v>487</v>
      </c>
      <c r="E262" s="32">
        <v>1</v>
      </c>
      <c r="F262" s="122" t="s">
        <v>754</v>
      </c>
      <c r="H262" s="617">
        <f>IF(ISNUMBER(SEARCH(HOME_Country,TablePays[[#This Row],[Country_Names]])),1,0)</f>
        <v>1</v>
      </c>
      <c r="I262" s="32" t="str">
        <f>IF(J262&lt;&gt;"",INDEX(TablePays[Country_Names],J262),"")</f>
        <v>Hungary</v>
      </c>
      <c r="J262" s="32">
        <f t="array" ref="J262">IFERROR(MATCH(0,COUNTIF($I$184:I261,TablePays[Country_Names])+IF($H$185:$H$390=0,1,0),0),"")</f>
        <v>78</v>
      </c>
    </row>
    <row r="263" spans="2:10" x14ac:dyDescent="0.2">
      <c r="B263" s="122" t="s">
        <v>470</v>
      </c>
      <c r="C263" s="122">
        <v>20</v>
      </c>
      <c r="D263" s="617" t="s">
        <v>487</v>
      </c>
      <c r="E263" s="32">
        <v>1</v>
      </c>
      <c r="F263" s="122" t="s">
        <v>757</v>
      </c>
      <c r="H263" s="617">
        <f>IF(ISNUMBER(SEARCH(HOME_Country,TablePays[[#This Row],[Country_Names]])),1,0)</f>
        <v>1</v>
      </c>
      <c r="I263" s="32" t="str">
        <f>IF(J263&lt;&gt;"",INDEX(TablePays[Country_Names],J263),"")</f>
        <v>Iceland</v>
      </c>
      <c r="J263" s="32">
        <f t="array" ref="J263">IFERROR(MATCH(0,COUNTIF($I$184:I262,TablePays[Country_Names])+IF($H$185:$H$390=0,1,0),0),"")</f>
        <v>79</v>
      </c>
    </row>
    <row r="264" spans="2:10" x14ac:dyDescent="0.2">
      <c r="B264" s="122" t="s">
        <v>297</v>
      </c>
      <c r="C264" s="122">
        <v>17</v>
      </c>
      <c r="D264" s="617" t="s">
        <v>582</v>
      </c>
      <c r="E264" s="32">
        <v>1</v>
      </c>
      <c r="F264" s="122" t="s">
        <v>750</v>
      </c>
      <c r="H264" s="617">
        <f>IF(ISNUMBER(SEARCH(HOME_Country,TablePays[[#This Row],[Country_Names]])),1,0)</f>
        <v>1</v>
      </c>
      <c r="I264" s="32" t="str">
        <f>IF(J264&lt;&gt;"",INDEX(TablePays[Country_Names],J264),"")</f>
        <v>India</v>
      </c>
      <c r="J264" s="32">
        <f t="array" ref="J264">IFERROR(MATCH(0,COUNTIF($I$184:I263,TablePays[Country_Names])+IF($H$185:$H$390=0,1,0),0),"")</f>
        <v>80</v>
      </c>
    </row>
    <row r="265" spans="2:10" x14ac:dyDescent="0.2">
      <c r="B265" s="122" t="s">
        <v>462</v>
      </c>
      <c r="C265" s="122">
        <v>15</v>
      </c>
      <c r="D265" s="617" t="s">
        <v>582</v>
      </c>
      <c r="E265" s="32">
        <v>1</v>
      </c>
      <c r="F265" s="122" t="s">
        <v>751</v>
      </c>
      <c r="H265" s="617">
        <f>IF(ISNUMBER(SEARCH(HOME_Country,TablePays[[#This Row],[Country_Names]])),1,0)</f>
        <v>1</v>
      </c>
      <c r="I265" s="32" t="str">
        <f>IF(J265&lt;&gt;"",INDEX(TablePays[Country_Names],J265),"")</f>
        <v>Indonesia</v>
      </c>
      <c r="J265" s="32">
        <f t="array" ref="J265">IFERROR(MATCH(0,COUNTIF($I$184:I264,TablePays[Country_Names])+IF($H$185:$H$390=0,1,0),0),"")</f>
        <v>81</v>
      </c>
    </row>
    <row r="266" spans="2:10" x14ac:dyDescent="0.2">
      <c r="B266" s="617" t="s">
        <v>589</v>
      </c>
      <c r="C266" s="617">
        <v>99</v>
      </c>
      <c r="D266" s="617" t="s">
        <v>582</v>
      </c>
      <c r="F266" s="122"/>
      <c r="H266" s="617">
        <f>IF(ISNUMBER(SEARCH(HOME_Country,TablePays[[#This Row],[Country_Names]])),1,0)</f>
        <v>1</v>
      </c>
      <c r="I266" s="32" t="str">
        <f>IF(J266&lt;&gt;"",INDEX(TablePays[Country_Names],J266),"")</f>
        <v>Iran</v>
      </c>
      <c r="J266" s="32">
        <f t="array" ref="J266">IFERROR(MATCH(0,COUNTIF($I$184:I265,TablePays[Country_Names])+IF($H$185:$H$390=0,1,0),0),"")</f>
        <v>82</v>
      </c>
    </row>
    <row r="267" spans="2:10" x14ac:dyDescent="0.2">
      <c r="B267" s="617" t="s">
        <v>590</v>
      </c>
      <c r="C267" s="617">
        <v>99</v>
      </c>
      <c r="D267" s="617" t="s">
        <v>582</v>
      </c>
      <c r="F267" s="122"/>
      <c r="H267" s="617">
        <f>IF(ISNUMBER(SEARCH(HOME_Country,TablePays[[#This Row],[Country_Names]])),1,0)</f>
        <v>1</v>
      </c>
      <c r="I267" s="32" t="str">
        <f>IF(J267&lt;&gt;"",INDEX(TablePays[Country_Names],J267),"")</f>
        <v>Iraq</v>
      </c>
      <c r="J267" s="32">
        <f t="array" ref="J267">IFERROR(MATCH(0,COUNTIF($I$184:I266,TablePays[Country_Names])+IF($H$185:$H$390=0,1,0),0),"")</f>
        <v>83</v>
      </c>
    </row>
    <row r="268" spans="2:10" x14ac:dyDescent="0.2">
      <c r="B268" s="122" t="s">
        <v>444</v>
      </c>
      <c r="C268" s="122">
        <f>7-1</f>
        <v>6</v>
      </c>
      <c r="D268" s="617" t="s">
        <v>487</v>
      </c>
      <c r="E268" s="32">
        <v>1</v>
      </c>
      <c r="F268" s="122" t="s">
        <v>761</v>
      </c>
      <c r="H268" s="617">
        <f>IF(ISNUMBER(SEARCH(HOME_Country,TablePays[[#This Row],[Country_Names]])),1,0)</f>
        <v>1</v>
      </c>
      <c r="I268" s="32" t="str">
        <f>IF(J268&lt;&gt;"",INDEX(TablePays[Country_Names],J268),"")</f>
        <v>Ireland</v>
      </c>
      <c r="J268" s="32">
        <f t="array" ref="J268">IFERROR(MATCH(0,COUNTIF($I$184:I267,TablePays[Country_Names])+IF($H$185:$H$390=0,1,0),0),"")</f>
        <v>84</v>
      </c>
    </row>
    <row r="269" spans="2:10" x14ac:dyDescent="0.2">
      <c r="B269" s="617" t="s">
        <v>591</v>
      </c>
      <c r="C269" s="617">
        <v>99</v>
      </c>
      <c r="D269" s="617" t="s">
        <v>582</v>
      </c>
      <c r="F269" s="122"/>
      <c r="H269" s="617">
        <f>IF(ISNUMBER(SEARCH(HOME_Country,TablePays[[#This Row],[Country_Names]])),1,0)</f>
        <v>1</v>
      </c>
      <c r="I269" s="32" t="str">
        <f>IF(J269&lt;&gt;"",INDEX(TablePays[Country_Names],J269),"")</f>
        <v>Israel</v>
      </c>
      <c r="J269" s="32">
        <f t="array" ref="J269">IFERROR(MATCH(0,COUNTIF($I$184:I268,TablePays[Country_Names])+IF($H$185:$H$390=0,1,0),0),"")</f>
        <v>85</v>
      </c>
    </row>
    <row r="270" spans="2:10" x14ac:dyDescent="0.2">
      <c r="B270" s="122" t="s">
        <v>449</v>
      </c>
      <c r="C270" s="122">
        <f>8-2</f>
        <v>6</v>
      </c>
      <c r="D270" s="617" t="s">
        <v>487</v>
      </c>
      <c r="E270" s="32">
        <v>1</v>
      </c>
      <c r="F270" s="122" t="s">
        <v>756</v>
      </c>
      <c r="H270" s="617">
        <f>IF(ISNUMBER(SEARCH(HOME_Country,TablePays[[#This Row],[Country_Names]])),1,0)</f>
        <v>1</v>
      </c>
      <c r="I270" s="32" t="str">
        <f>IF(J270&lt;&gt;"",INDEX(TablePays[Country_Names],J270),"")</f>
        <v>Italy</v>
      </c>
      <c r="J270" s="32">
        <f t="array" ref="J270">IFERROR(MATCH(0,COUNTIF($I$184:I269,TablePays[Country_Names])+IF($H$185:$H$390=0,1,0),0),"")</f>
        <v>86</v>
      </c>
    </row>
    <row r="271" spans="2:10" x14ac:dyDescent="0.2">
      <c r="B271" s="617" t="s">
        <v>664</v>
      </c>
      <c r="C271" s="617">
        <v>99</v>
      </c>
      <c r="D271" s="617" t="s">
        <v>540</v>
      </c>
      <c r="F271" s="122"/>
      <c r="H271" s="617">
        <f>IF(ISNUMBER(SEARCH(HOME_Country,TablePays[[#This Row],[Country_Names]])),1,0)</f>
        <v>1</v>
      </c>
      <c r="I271" s="32" t="str">
        <f>IF(J271&lt;&gt;"",INDEX(TablePays[Country_Names],J271),"")</f>
        <v>Ivory Coast</v>
      </c>
      <c r="J271" s="32">
        <f t="array" ref="J271">IFERROR(MATCH(0,COUNTIF($I$184:I270,TablePays[Country_Names])+IF($H$185:$H$390=0,1,0),0),"")</f>
        <v>87</v>
      </c>
    </row>
    <row r="272" spans="2:10" x14ac:dyDescent="0.2">
      <c r="B272" s="617" t="s">
        <v>641</v>
      </c>
      <c r="C272" s="617">
        <v>99</v>
      </c>
      <c r="D272" s="617" t="s">
        <v>678</v>
      </c>
      <c r="F272" s="122"/>
      <c r="H272" s="617">
        <f>IF(ISNUMBER(SEARCH(HOME_Country,TablePays[[#This Row],[Country_Names]])),1,0)</f>
        <v>1</v>
      </c>
      <c r="I272" s="32" t="str">
        <f>IF(J272&lt;&gt;"",INDEX(TablePays[Country_Names],J272),"")</f>
        <v>Jamaica</v>
      </c>
      <c r="J272" s="32">
        <f t="array" ref="J272">IFERROR(MATCH(0,COUNTIF($I$184:I271,TablePays[Country_Names])+IF($H$185:$H$390=0,1,0),0),"")</f>
        <v>88</v>
      </c>
    </row>
    <row r="273" spans="2:10" x14ac:dyDescent="0.2">
      <c r="B273" s="122" t="s">
        <v>320</v>
      </c>
      <c r="C273" s="122">
        <v>13</v>
      </c>
      <c r="D273" s="617" t="s">
        <v>582</v>
      </c>
      <c r="E273" s="32">
        <v>1</v>
      </c>
      <c r="F273" s="122" t="s">
        <v>749</v>
      </c>
      <c r="H273" s="617">
        <f>IF(ISNUMBER(SEARCH(HOME_Country,TablePays[[#This Row],[Country_Names]])),1,0)</f>
        <v>1</v>
      </c>
      <c r="I273" s="32" t="str">
        <f>IF(J273&lt;&gt;"",INDEX(TablePays[Country_Names],J273),"")</f>
        <v>Japan</v>
      </c>
      <c r="J273" s="32">
        <f t="array" ref="J273">IFERROR(MATCH(0,COUNTIF($I$184:I272,TablePays[Country_Names])+IF($H$185:$H$390=0,1,0),0),"")</f>
        <v>89</v>
      </c>
    </row>
    <row r="274" spans="2:10" x14ac:dyDescent="0.2">
      <c r="B274" s="617" t="s">
        <v>592</v>
      </c>
      <c r="C274" s="617">
        <v>99</v>
      </c>
      <c r="D274" s="617" t="s">
        <v>582</v>
      </c>
      <c r="F274" s="122"/>
      <c r="H274" s="617">
        <f>IF(ISNUMBER(SEARCH(HOME_Country,TablePays[[#This Row],[Country_Names]])),1,0)</f>
        <v>1</v>
      </c>
      <c r="I274" s="32" t="str">
        <f>IF(J274&lt;&gt;"",INDEX(TablePays[Country_Names],J274),"")</f>
        <v>Jordan</v>
      </c>
      <c r="J274" s="32">
        <f t="array" ref="J274">IFERROR(MATCH(0,COUNTIF($I$184:I273,TablePays[Country_Names])+IF($H$185:$H$390=0,1,0),0),"")</f>
        <v>90</v>
      </c>
    </row>
    <row r="275" spans="2:10" x14ac:dyDescent="0.2">
      <c r="B275" s="617" t="s">
        <v>163</v>
      </c>
      <c r="C275" s="617">
        <v>99</v>
      </c>
      <c r="D275" s="617" t="s">
        <v>582</v>
      </c>
      <c r="F275" s="122"/>
      <c r="H275" s="617">
        <f>IF(ISNUMBER(SEARCH(HOME_Country,TablePays[[#This Row],[Country_Names]])),1,0)</f>
        <v>1</v>
      </c>
      <c r="I275" s="32" t="str">
        <f>IF(J275&lt;&gt;"",INDEX(TablePays[Country_Names],J275),"")</f>
        <v>Kazakhstan</v>
      </c>
      <c r="J275" s="32">
        <f t="array" ref="J275">IFERROR(MATCH(0,COUNTIF($I$184:I274,TablePays[Country_Names])+IF($H$185:$H$390=0,1,0),0),"")</f>
        <v>91</v>
      </c>
    </row>
    <row r="276" spans="2:10" x14ac:dyDescent="0.2">
      <c r="B276" s="617" t="s">
        <v>534</v>
      </c>
      <c r="C276" s="617">
        <v>21</v>
      </c>
      <c r="D276" s="617" t="s">
        <v>540</v>
      </c>
      <c r="E276" s="32">
        <v>1</v>
      </c>
      <c r="F276" s="122" t="s">
        <v>746</v>
      </c>
      <c r="H276" s="617">
        <f>IF(ISNUMBER(SEARCH(HOME_Country,TablePays[[#This Row],[Country_Names]])),1,0)</f>
        <v>1</v>
      </c>
      <c r="I276" s="32" t="str">
        <f>IF(J276&lt;&gt;"",INDEX(TablePays[Country_Names],J276),"")</f>
        <v>Kenya</v>
      </c>
      <c r="J276" s="32">
        <f t="array" ref="J276">IFERROR(MATCH(0,COUNTIF($I$184:I275,TablePays[Country_Names])+IF($H$185:$H$390=0,1,0),0),"")</f>
        <v>92</v>
      </c>
    </row>
    <row r="277" spans="2:10" x14ac:dyDescent="0.2">
      <c r="B277" s="617" t="s">
        <v>646</v>
      </c>
      <c r="C277" s="617">
        <v>99</v>
      </c>
      <c r="D277" s="617" t="s">
        <v>644</v>
      </c>
      <c r="F277" s="122"/>
      <c r="H277" s="617">
        <f>IF(ISNUMBER(SEARCH(HOME_Country,TablePays[[#This Row],[Country_Names]])),1,0)</f>
        <v>1</v>
      </c>
      <c r="I277" s="32" t="str">
        <f>IF(J277&lt;&gt;"",INDEX(TablePays[Country_Names],J277),"")</f>
        <v>Kiribati</v>
      </c>
      <c r="J277" s="32">
        <f t="array" ref="J277">IFERROR(MATCH(0,COUNTIF($I$184:I276,TablePays[Country_Names])+IF($H$185:$H$390=0,1,0),0),"")</f>
        <v>93</v>
      </c>
    </row>
    <row r="278" spans="2:10" x14ac:dyDescent="0.2">
      <c r="B278" s="617" t="s">
        <v>593</v>
      </c>
      <c r="C278" s="617">
        <v>99</v>
      </c>
      <c r="D278" s="617" t="s">
        <v>582</v>
      </c>
      <c r="F278" s="122"/>
      <c r="H278" s="617">
        <f>IF(ISNUMBER(SEARCH(HOME_Country,TablePays[[#This Row],[Country_Names]])),1,0)</f>
        <v>1</v>
      </c>
      <c r="I278" s="32" t="str">
        <f>IF(J278&lt;&gt;"",INDEX(TablePays[Country_Names],J278),"")</f>
        <v>Korea, North</v>
      </c>
      <c r="J278" s="32">
        <f t="array" ref="J278">IFERROR(MATCH(0,COUNTIF($I$184:I277,TablePays[Country_Names])+IF($H$185:$H$390=0,1,0),0),"")</f>
        <v>94</v>
      </c>
    </row>
    <row r="279" spans="2:10" x14ac:dyDescent="0.2">
      <c r="B279" s="617" t="s">
        <v>594</v>
      </c>
      <c r="C279" s="617">
        <v>99</v>
      </c>
      <c r="D279" s="617" t="s">
        <v>582</v>
      </c>
      <c r="F279" s="122"/>
      <c r="H279" s="617">
        <f>IF(ISNUMBER(SEARCH(HOME_Country,TablePays[[#This Row],[Country_Names]])),1,0)</f>
        <v>1</v>
      </c>
      <c r="I279" s="32" t="str">
        <f>IF(J279&lt;&gt;"",INDEX(TablePays[Country_Names],J279),"")</f>
        <v>Korea, South</v>
      </c>
      <c r="J279" s="32">
        <f t="array" ref="J279">IFERROR(MATCH(0,COUNTIF($I$184:I278,TablePays[Country_Names])+IF($H$185:$H$390=0,1,0),0),"")</f>
        <v>95</v>
      </c>
    </row>
    <row r="280" spans="2:10" x14ac:dyDescent="0.2">
      <c r="B280" s="617" t="s">
        <v>595</v>
      </c>
      <c r="C280" s="617">
        <v>99</v>
      </c>
      <c r="D280" s="617" t="s">
        <v>582</v>
      </c>
      <c r="F280" s="122"/>
      <c r="H280" s="617">
        <f>IF(ISNUMBER(SEARCH(HOME_Country,TablePays[[#This Row],[Country_Names]])),1,0)</f>
        <v>1</v>
      </c>
      <c r="I280" s="32" t="str">
        <f>IF(J280&lt;&gt;"",INDEX(TablePays[Country_Names],J280),"")</f>
        <v>Kuwait</v>
      </c>
      <c r="J280" s="32">
        <f t="array" ref="J280">IFERROR(MATCH(0,COUNTIF($I$184:I279,TablePays[Country_Names])+IF($H$185:$H$390=0,1,0),0),"")</f>
        <v>96</v>
      </c>
    </row>
    <row r="281" spans="2:10" x14ac:dyDescent="0.2">
      <c r="B281" s="617" t="s">
        <v>596</v>
      </c>
      <c r="C281" s="617">
        <v>99</v>
      </c>
      <c r="D281" s="617" t="s">
        <v>582</v>
      </c>
      <c r="F281" s="122"/>
      <c r="H281" s="617">
        <f>IF(ISNUMBER(SEARCH(HOME_Country,TablePays[[#This Row],[Country_Names]])),1,0)</f>
        <v>1</v>
      </c>
      <c r="I281" s="32" t="str">
        <f>IF(J281&lt;&gt;"",INDEX(TablePays[Country_Names],J281),"")</f>
        <v>Kyrgyzstan</v>
      </c>
      <c r="J281" s="32">
        <f t="array" ref="J281">IFERROR(MATCH(0,COUNTIF($I$184:I280,TablePays[Country_Names])+IF($H$185:$H$390=0,1,0),0),"")</f>
        <v>97</v>
      </c>
    </row>
    <row r="282" spans="2:10" x14ac:dyDescent="0.2">
      <c r="B282" s="617" t="s">
        <v>597</v>
      </c>
      <c r="C282" s="617">
        <v>99</v>
      </c>
      <c r="D282" s="617" t="s">
        <v>582</v>
      </c>
      <c r="F282" s="122"/>
      <c r="H282" s="617">
        <f>IF(ISNUMBER(SEARCH(HOME_Country,TablePays[[#This Row],[Country_Names]])),1,0)</f>
        <v>1</v>
      </c>
      <c r="I282" s="32" t="str">
        <f>IF(J282&lt;&gt;"",INDEX(TablePays[Country_Names],J282),"")</f>
        <v>Laos</v>
      </c>
      <c r="J282" s="32">
        <f t="array" ref="J282">IFERROR(MATCH(0,COUNTIF($I$184:I281,TablePays[Country_Names])+IF($H$185:$H$390=0,1,0),0),"")</f>
        <v>98</v>
      </c>
    </row>
    <row r="283" spans="2:10" x14ac:dyDescent="0.2">
      <c r="B283" s="617" t="s">
        <v>620</v>
      </c>
      <c r="C283" s="617">
        <v>99</v>
      </c>
      <c r="D283" s="617" t="s">
        <v>487</v>
      </c>
      <c r="F283" s="122"/>
      <c r="H283" s="617">
        <f>IF(ISNUMBER(SEARCH(HOME_Country,TablePays[[#This Row],[Country_Names]])),1,0)</f>
        <v>1</v>
      </c>
      <c r="I283" s="32" t="str">
        <f>IF(J283&lt;&gt;"",INDEX(TablePays[Country_Names],J283),"")</f>
        <v>Latvia</v>
      </c>
      <c r="J283" s="32">
        <f t="array" ref="J283">IFERROR(MATCH(0,COUNTIF($I$184:I282,TablePays[Country_Names])+IF($H$185:$H$390=0,1,0),0),"")</f>
        <v>99</v>
      </c>
    </row>
    <row r="284" spans="2:10" x14ac:dyDescent="0.2">
      <c r="B284" s="617" t="s">
        <v>598</v>
      </c>
      <c r="C284" s="617">
        <v>99</v>
      </c>
      <c r="D284" s="617" t="s">
        <v>582</v>
      </c>
      <c r="F284" s="122"/>
      <c r="H284" s="617">
        <f>IF(ISNUMBER(SEARCH(HOME_Country,TablePays[[#This Row],[Country_Names]])),1,0)</f>
        <v>1</v>
      </c>
      <c r="I284" s="32" t="str">
        <f>IF(J284&lt;&gt;"",INDEX(TablePays[Country_Names],J284),"")</f>
        <v>Lebanon</v>
      </c>
      <c r="J284" s="32">
        <f t="array" ref="J284">IFERROR(MATCH(0,COUNTIF($I$184:I283,TablePays[Country_Names])+IF($H$185:$H$390=0,1,0),0),"")</f>
        <v>100</v>
      </c>
    </row>
    <row r="285" spans="2:10" x14ac:dyDescent="0.2">
      <c r="B285" s="617" t="s">
        <v>559</v>
      </c>
      <c r="C285" s="617">
        <v>99</v>
      </c>
      <c r="D285" s="617" t="s">
        <v>540</v>
      </c>
      <c r="F285" s="122"/>
      <c r="H285" s="617">
        <f>IF(ISNUMBER(SEARCH(HOME_Country,TablePays[[#This Row],[Country_Names]])),1,0)</f>
        <v>1</v>
      </c>
      <c r="I285" s="32" t="str">
        <f>IF(J285&lt;&gt;"",INDEX(TablePays[Country_Names],J285),"")</f>
        <v>Lesotho</v>
      </c>
      <c r="J285" s="32">
        <f t="array" ref="J285">IFERROR(MATCH(0,COUNTIF($I$184:I284,TablePays[Country_Names])+IF($H$185:$H$390=0,1,0),0),"")</f>
        <v>101</v>
      </c>
    </row>
    <row r="286" spans="2:10" x14ac:dyDescent="0.2">
      <c r="B286" s="617" t="s">
        <v>560</v>
      </c>
      <c r="C286" s="617">
        <v>99</v>
      </c>
      <c r="D286" s="617" t="s">
        <v>540</v>
      </c>
      <c r="F286" s="122"/>
      <c r="H286" s="617">
        <f>IF(ISNUMBER(SEARCH(HOME_Country,TablePays[[#This Row],[Country_Names]])),1,0)</f>
        <v>1</v>
      </c>
      <c r="I286" s="32" t="str">
        <f>IF(J286&lt;&gt;"",INDEX(TablePays[Country_Names],J286),"")</f>
        <v>Liberia</v>
      </c>
      <c r="J286" s="32">
        <f t="array" ref="J286">IFERROR(MATCH(0,COUNTIF($I$184:I285,TablePays[Country_Names])+IF($H$185:$H$390=0,1,0),0),"")</f>
        <v>102</v>
      </c>
    </row>
    <row r="287" spans="2:10" x14ac:dyDescent="0.2">
      <c r="B287" s="617" t="s">
        <v>561</v>
      </c>
      <c r="C287" s="617">
        <v>99</v>
      </c>
      <c r="D287" s="617" t="s">
        <v>540</v>
      </c>
      <c r="F287" s="122"/>
      <c r="H287" s="617">
        <f>IF(ISNUMBER(SEARCH(HOME_Country,TablePays[[#This Row],[Country_Names]])),1,0)</f>
        <v>1</v>
      </c>
      <c r="I287" s="32" t="str">
        <f>IF(J287&lt;&gt;"",INDEX(TablePays[Country_Names],J287),"")</f>
        <v>Libya</v>
      </c>
      <c r="J287" s="32">
        <f t="array" ref="J287">IFERROR(MATCH(0,COUNTIF($I$184:I286,TablePays[Country_Names])+IF($H$185:$H$390=0,1,0),0),"")</f>
        <v>103</v>
      </c>
    </row>
    <row r="288" spans="2:10" x14ac:dyDescent="0.2">
      <c r="B288" s="617" t="s">
        <v>621</v>
      </c>
      <c r="C288" s="617">
        <v>99</v>
      </c>
      <c r="D288" s="617" t="s">
        <v>487</v>
      </c>
      <c r="F288" s="122"/>
      <c r="H288" s="617">
        <f>IF(ISNUMBER(SEARCH(HOME_Country,TablePays[[#This Row],[Country_Names]])),1,0)</f>
        <v>1</v>
      </c>
      <c r="I288" s="32" t="str">
        <f>IF(J288&lt;&gt;"",INDEX(TablePays[Country_Names],J288),"")</f>
        <v>Liechtenstein</v>
      </c>
      <c r="J288" s="32">
        <f t="array" ref="J288">IFERROR(MATCH(0,COUNTIF($I$184:I287,TablePays[Country_Names])+IF($H$185:$H$390=0,1,0),0),"")</f>
        <v>104</v>
      </c>
    </row>
    <row r="289" spans="2:10" x14ac:dyDescent="0.2">
      <c r="B289" s="617" t="s">
        <v>622</v>
      </c>
      <c r="C289" s="617">
        <v>99</v>
      </c>
      <c r="D289" s="617" t="s">
        <v>487</v>
      </c>
      <c r="F289" s="122"/>
      <c r="H289" s="617">
        <f>IF(ISNUMBER(SEARCH(HOME_Country,TablePays[[#This Row],[Country_Names]])),1,0)</f>
        <v>1</v>
      </c>
      <c r="I289" s="32" t="str">
        <f>IF(J289&lt;&gt;"",INDEX(TablePays[Country_Names],J289),"")</f>
        <v>Lithuania</v>
      </c>
      <c r="J289" s="32">
        <f t="array" ref="J289">IFERROR(MATCH(0,COUNTIF($I$184:I288,TablePays[Country_Names])+IF($H$185:$H$390=0,1,0),0),"")</f>
        <v>105</v>
      </c>
    </row>
    <row r="290" spans="2:10" x14ac:dyDescent="0.2">
      <c r="B290" s="617" t="s">
        <v>623</v>
      </c>
      <c r="C290" s="617">
        <v>99</v>
      </c>
      <c r="D290" s="617" t="s">
        <v>487</v>
      </c>
      <c r="F290" s="122"/>
      <c r="H290" s="617">
        <f>IF(ISNUMBER(SEARCH(HOME_Country,TablePays[[#This Row],[Country_Names]])),1,0)</f>
        <v>1</v>
      </c>
      <c r="I290" s="32" t="str">
        <f>IF(J290&lt;&gt;"",INDEX(TablePays[Country_Names],J290),"")</f>
        <v>Luxembourg</v>
      </c>
      <c r="J290" s="32">
        <f t="array" ref="J290">IFERROR(MATCH(0,COUNTIF($I$184:I289,TablePays[Country_Names])+IF($H$185:$H$390=0,1,0),0),"")</f>
        <v>106</v>
      </c>
    </row>
    <row r="291" spans="2:10" x14ac:dyDescent="0.2">
      <c r="B291" s="617" t="s">
        <v>624</v>
      </c>
      <c r="C291" s="617">
        <v>99</v>
      </c>
      <c r="D291" s="617" t="s">
        <v>487</v>
      </c>
      <c r="F291" s="122"/>
      <c r="H291" s="617">
        <f>IF(ISNUMBER(SEARCH(HOME_Country,TablePays[[#This Row],[Country_Names]])),1,0)</f>
        <v>1</v>
      </c>
      <c r="I291" s="32" t="str">
        <f>IF(J291&lt;&gt;"",INDEX(TablePays[Country_Names],J291),"")</f>
        <v>Macedonia</v>
      </c>
      <c r="J291" s="32">
        <f t="array" ref="J291">IFERROR(MATCH(0,COUNTIF($I$184:I290,TablePays[Country_Names])+IF($H$185:$H$390=0,1,0),0),"")</f>
        <v>107</v>
      </c>
    </row>
    <row r="292" spans="2:10" x14ac:dyDescent="0.2">
      <c r="B292" s="617" t="s">
        <v>562</v>
      </c>
      <c r="C292" s="617">
        <v>99</v>
      </c>
      <c r="D292" s="617" t="s">
        <v>540</v>
      </c>
      <c r="F292" s="122"/>
      <c r="H292" s="617">
        <f>IF(ISNUMBER(SEARCH(HOME_Country,TablePays[[#This Row],[Country_Names]])),1,0)</f>
        <v>1</v>
      </c>
      <c r="I292" s="32" t="str">
        <f>IF(J292&lt;&gt;"",INDEX(TablePays[Country_Names],J292),"")</f>
        <v>Madagascar</v>
      </c>
      <c r="J292" s="32">
        <f t="array" ref="J292">IFERROR(MATCH(0,COUNTIF($I$184:I291,TablePays[Country_Names])+IF($H$185:$H$390=0,1,0),0),"")</f>
        <v>108</v>
      </c>
    </row>
    <row r="293" spans="2:10" x14ac:dyDescent="0.2">
      <c r="B293" s="617" t="s">
        <v>563</v>
      </c>
      <c r="C293" s="617">
        <v>99</v>
      </c>
      <c r="D293" s="617" t="s">
        <v>540</v>
      </c>
      <c r="F293" s="122"/>
      <c r="H293" s="617">
        <f>IF(ISNUMBER(SEARCH(HOME_Country,TablePays[[#This Row],[Country_Names]])),1,0)</f>
        <v>1</v>
      </c>
      <c r="I293" s="32" t="str">
        <f>IF(J293&lt;&gt;"",INDEX(TablePays[Country_Names],J293),"")</f>
        <v>Malawi</v>
      </c>
      <c r="J293" s="32">
        <f t="array" ref="J293">IFERROR(MATCH(0,COUNTIF($I$184:I292,TablePays[Country_Names])+IF($H$185:$H$390=0,1,0),0),"")</f>
        <v>109</v>
      </c>
    </row>
    <row r="294" spans="2:10" x14ac:dyDescent="0.2">
      <c r="B294" s="122" t="s">
        <v>298</v>
      </c>
      <c r="C294" s="122">
        <v>15</v>
      </c>
      <c r="D294" s="617" t="s">
        <v>582</v>
      </c>
      <c r="E294" s="32">
        <v>1</v>
      </c>
      <c r="F294" s="122" t="s">
        <v>751</v>
      </c>
      <c r="H294" s="617">
        <f>IF(ISNUMBER(SEARCH(HOME_Country,TablePays[[#This Row],[Country_Names]])),1,0)</f>
        <v>1</v>
      </c>
      <c r="I294" s="32" t="str">
        <f>IF(J294&lt;&gt;"",INDEX(TablePays[Country_Names],J294),"")</f>
        <v>Malaysia</v>
      </c>
      <c r="J294" s="32">
        <f t="array" ref="J294">IFERROR(MATCH(0,COUNTIF($I$184:I293,TablePays[Country_Names])+IF($H$185:$H$390=0,1,0),0),"")</f>
        <v>110</v>
      </c>
    </row>
    <row r="295" spans="2:10" x14ac:dyDescent="0.2">
      <c r="B295" s="617" t="s">
        <v>599</v>
      </c>
      <c r="C295" s="617">
        <v>99</v>
      </c>
      <c r="D295" s="617" t="s">
        <v>582</v>
      </c>
      <c r="F295" s="122"/>
      <c r="H295" s="617">
        <f>IF(ISNUMBER(SEARCH(HOME_Country,TablePays[[#This Row],[Country_Names]])),1,0)</f>
        <v>1</v>
      </c>
      <c r="I295" s="32" t="str">
        <f>IF(J295&lt;&gt;"",INDEX(TablePays[Country_Names],J295),"")</f>
        <v>Maldives</v>
      </c>
      <c r="J295" s="32">
        <f t="array" ref="J295">IFERROR(MATCH(0,COUNTIF($I$184:I294,TablePays[Country_Names])+IF($H$185:$H$390=0,1,0),0),"")</f>
        <v>111</v>
      </c>
    </row>
    <row r="296" spans="2:10" x14ac:dyDescent="0.2">
      <c r="B296" s="617" t="s">
        <v>564</v>
      </c>
      <c r="C296" s="617">
        <v>99</v>
      </c>
      <c r="D296" s="617" t="s">
        <v>540</v>
      </c>
      <c r="F296" s="122"/>
      <c r="H296" s="617">
        <f>IF(ISNUMBER(SEARCH(HOME_Country,TablePays[[#This Row],[Country_Names]])),1,0)</f>
        <v>1</v>
      </c>
      <c r="I296" s="32" t="str">
        <f>IF(J296&lt;&gt;"",INDEX(TablePays[Country_Names],J296),"")</f>
        <v>Mali</v>
      </c>
      <c r="J296" s="32">
        <f t="array" ref="J296">IFERROR(MATCH(0,COUNTIF($I$184:I295,TablePays[Country_Names])+IF($H$185:$H$390=0,1,0),0),"")</f>
        <v>112</v>
      </c>
    </row>
    <row r="297" spans="2:10" x14ac:dyDescent="0.2">
      <c r="B297" s="617" t="s">
        <v>625</v>
      </c>
      <c r="C297" s="617">
        <v>99</v>
      </c>
      <c r="D297" s="617" t="s">
        <v>487</v>
      </c>
      <c r="F297" s="122"/>
      <c r="H297" s="617">
        <f>IF(ISNUMBER(SEARCH(HOME_Country,TablePays[[#This Row],[Country_Names]])),1,0)</f>
        <v>1</v>
      </c>
      <c r="I297" s="32" t="str">
        <f>IF(J297&lt;&gt;"",INDEX(TablePays[Country_Names],J297),"")</f>
        <v>Malta</v>
      </c>
      <c r="J297" s="32">
        <f t="array" ref="J297">IFERROR(MATCH(0,COUNTIF($I$184:I296,TablePays[Country_Names])+IF($H$185:$H$390=0,1,0),0),"")</f>
        <v>113</v>
      </c>
    </row>
    <row r="298" spans="2:10" x14ac:dyDescent="0.2">
      <c r="B298" s="617" t="s">
        <v>686</v>
      </c>
      <c r="C298" s="617">
        <v>99</v>
      </c>
      <c r="D298" s="617" t="s">
        <v>644</v>
      </c>
      <c r="F298" s="122"/>
      <c r="H298" s="617">
        <f>IF(ISNUMBER(SEARCH(HOME_Country,TablePays[[#This Row],[Country_Names]])),1,0)</f>
        <v>1</v>
      </c>
      <c r="I298" s="32" t="str">
        <f>IF(J298&lt;&gt;"",INDEX(TablePays[Country_Names],J298),"")</f>
        <v>Marshall Islands</v>
      </c>
      <c r="J298" s="32">
        <f t="array" ref="J298">IFERROR(MATCH(0,COUNTIF($I$184:I297,TablePays[Country_Names])+IF($H$185:$H$390=0,1,0),0),"")</f>
        <v>114</v>
      </c>
    </row>
    <row r="299" spans="2:10" x14ac:dyDescent="0.2">
      <c r="B299" s="617" t="s">
        <v>565</v>
      </c>
      <c r="C299" s="617">
        <v>99</v>
      </c>
      <c r="D299" s="617" t="s">
        <v>540</v>
      </c>
      <c r="F299" s="122"/>
      <c r="H299" s="617">
        <f>IF(ISNUMBER(SEARCH(HOME_Country,TablePays[[#This Row],[Country_Names]])),1,0)</f>
        <v>1</v>
      </c>
      <c r="I299" s="32" t="str">
        <f>IF(J299&lt;&gt;"",INDEX(TablePays[Country_Names],J299),"")</f>
        <v>Mauritania</v>
      </c>
      <c r="J299" s="32">
        <f t="array" ref="J299">IFERROR(MATCH(0,COUNTIF($I$184:I298,TablePays[Country_Names])+IF($H$185:$H$390=0,1,0),0),"")</f>
        <v>115</v>
      </c>
    </row>
    <row r="300" spans="2:10" x14ac:dyDescent="0.2">
      <c r="B300" s="617" t="s">
        <v>566</v>
      </c>
      <c r="C300" s="617">
        <v>99</v>
      </c>
      <c r="D300" s="617" t="s">
        <v>540</v>
      </c>
      <c r="F300" s="122"/>
      <c r="H300" s="617">
        <f>IF(ISNUMBER(SEARCH(HOME_Country,TablePays[[#This Row],[Country_Names]])),1,0)</f>
        <v>1</v>
      </c>
      <c r="I300" s="32" t="str">
        <f>IF(J300&lt;&gt;"",INDEX(TablePays[Country_Names],J300),"")</f>
        <v>Mauritius</v>
      </c>
      <c r="J300" s="32">
        <f t="array" ref="J300">IFERROR(MATCH(0,COUNTIF($I$184:I299,TablePays[Country_Names])+IF($H$185:$H$390=0,1,0),0),"")</f>
        <v>116</v>
      </c>
    </row>
    <row r="301" spans="2:10" x14ac:dyDescent="0.2">
      <c r="B301" s="122" t="s">
        <v>441</v>
      </c>
      <c r="C301" s="122">
        <v>4</v>
      </c>
      <c r="D301" s="617" t="s">
        <v>678</v>
      </c>
      <c r="E301" s="32">
        <v>1</v>
      </c>
      <c r="F301" s="122" t="s">
        <v>763</v>
      </c>
      <c r="H301" s="617">
        <f>IF(ISNUMBER(SEARCH(HOME_Country,TablePays[[#This Row],[Country_Names]])),1,0)</f>
        <v>1</v>
      </c>
      <c r="I301" s="32" t="str">
        <f>IF(J301&lt;&gt;"",INDEX(TablePays[Country_Names],J301),"")</f>
        <v>Mexico</v>
      </c>
      <c r="J301" s="32">
        <f t="array" ref="J301">IFERROR(MATCH(0,COUNTIF($I$184:I300,TablePays[Country_Names])+IF($H$185:$H$390=0,1,0),0),"")</f>
        <v>117</v>
      </c>
    </row>
    <row r="302" spans="2:10" x14ac:dyDescent="0.2">
      <c r="B302" s="617" t="s">
        <v>647</v>
      </c>
      <c r="C302" s="617">
        <v>99</v>
      </c>
      <c r="D302" s="617" t="s">
        <v>644</v>
      </c>
      <c r="F302" s="122"/>
      <c r="H302" s="617">
        <f>IF(ISNUMBER(SEARCH(HOME_Country,TablePays[[#This Row],[Country_Names]])),1,0)</f>
        <v>1</v>
      </c>
      <c r="I302" s="32" t="str">
        <f>IF(J302&lt;&gt;"",INDEX(TablePays[Country_Names],J302),"")</f>
        <v>Micronesia</v>
      </c>
      <c r="J302" s="32">
        <f t="array" ref="J302">IFERROR(MATCH(0,COUNTIF($I$184:I301,TablePays[Country_Names])+IF($H$185:$H$390=0,1,0),0),"")</f>
        <v>118</v>
      </c>
    </row>
    <row r="303" spans="2:10" x14ac:dyDescent="0.2">
      <c r="B303" s="617" t="s">
        <v>626</v>
      </c>
      <c r="C303" s="617">
        <v>99</v>
      </c>
      <c r="D303" s="617" t="s">
        <v>487</v>
      </c>
      <c r="F303" s="122"/>
      <c r="H303" s="617">
        <f>IF(ISNUMBER(SEARCH(HOME_Country,TablePays[[#This Row],[Country_Names]])),1,0)</f>
        <v>1</v>
      </c>
      <c r="I303" s="32" t="str">
        <f>IF(J303&lt;&gt;"",INDEX(TablePays[Country_Names],J303),"")</f>
        <v>Moldova</v>
      </c>
      <c r="J303" s="32">
        <f t="array" ref="J303">IFERROR(MATCH(0,COUNTIF($I$184:I302,TablePays[Country_Names])+IF($H$185:$H$390=0,1,0),0),"")</f>
        <v>119</v>
      </c>
    </row>
    <row r="304" spans="2:10" x14ac:dyDescent="0.2">
      <c r="B304" s="617" t="s">
        <v>627</v>
      </c>
      <c r="C304" s="617">
        <v>99</v>
      </c>
      <c r="D304" s="617" t="s">
        <v>487</v>
      </c>
      <c r="F304" s="122"/>
      <c r="H304" s="617">
        <f>IF(ISNUMBER(SEARCH(HOME_Country,TablePays[[#This Row],[Country_Names]])),1,0)</f>
        <v>1</v>
      </c>
      <c r="I304" s="32" t="str">
        <f>IF(J304&lt;&gt;"",INDEX(TablePays[Country_Names],J304),"")</f>
        <v>Monaco</v>
      </c>
      <c r="J304" s="32">
        <f t="array" ref="J304">IFERROR(MATCH(0,COUNTIF($I$184:I303,TablePays[Country_Names])+IF($H$185:$H$390=0,1,0),0),"")</f>
        <v>120</v>
      </c>
    </row>
    <row r="305" spans="2:10" x14ac:dyDescent="0.2">
      <c r="B305" s="617" t="s">
        <v>600</v>
      </c>
      <c r="C305" s="617">
        <v>99</v>
      </c>
      <c r="D305" s="617" t="s">
        <v>582</v>
      </c>
      <c r="F305" s="122"/>
      <c r="H305" s="617">
        <f>IF(ISNUMBER(SEARCH(HOME_Country,TablePays[[#This Row],[Country_Names]])),1,0)</f>
        <v>1</v>
      </c>
      <c r="I305" s="32" t="str">
        <f>IF(J305&lt;&gt;"",INDEX(TablePays[Country_Names],J305),"")</f>
        <v>Mongolia</v>
      </c>
      <c r="J305" s="32">
        <f t="array" ref="J305">IFERROR(MATCH(0,COUNTIF($I$184:I304,TablePays[Country_Names])+IF($H$185:$H$390=0,1,0),0),"")</f>
        <v>121</v>
      </c>
    </row>
    <row r="306" spans="2:10" x14ac:dyDescent="0.2">
      <c r="B306" s="617" t="s">
        <v>628</v>
      </c>
      <c r="C306" s="617">
        <v>99</v>
      </c>
      <c r="D306" s="617" t="s">
        <v>487</v>
      </c>
      <c r="F306" s="122"/>
      <c r="H306" s="617">
        <f>IF(ISNUMBER(SEARCH(HOME_Country,TablePays[[#This Row],[Country_Names]])),1,0)</f>
        <v>1</v>
      </c>
      <c r="I306" s="32" t="str">
        <f>IF(J306&lt;&gt;"",INDEX(TablePays[Country_Names],J306),"")</f>
        <v>Montenegro</v>
      </c>
      <c r="J306" s="32">
        <f t="array" ref="J306">IFERROR(MATCH(0,COUNTIF($I$184:I305,TablePays[Country_Names])+IF($H$185:$H$390=0,1,0),0),"")</f>
        <v>122</v>
      </c>
    </row>
    <row r="307" spans="2:10" x14ac:dyDescent="0.2">
      <c r="B307" s="617" t="s">
        <v>533</v>
      </c>
      <c r="C307" s="617">
        <v>21</v>
      </c>
      <c r="D307" s="617" t="s">
        <v>540</v>
      </c>
      <c r="E307" s="32">
        <v>1</v>
      </c>
      <c r="F307" s="122" t="s">
        <v>745</v>
      </c>
      <c r="H307" s="617">
        <f>IF(ISNUMBER(SEARCH(HOME_Country,TablePays[[#This Row],[Country_Names]])),1,0)</f>
        <v>1</v>
      </c>
      <c r="I307" s="32" t="str">
        <f>IF(J307&lt;&gt;"",INDEX(TablePays[Country_Names],J307),"")</f>
        <v>Morocco</v>
      </c>
      <c r="J307" s="32">
        <f t="array" ref="J307">IFERROR(MATCH(0,COUNTIF($I$184:I306,TablePays[Country_Names])+IF($H$185:$H$390=0,1,0),0),"")</f>
        <v>123</v>
      </c>
    </row>
    <row r="308" spans="2:10" x14ac:dyDescent="0.2">
      <c r="B308" s="617" t="s">
        <v>567</v>
      </c>
      <c r="C308" s="617">
        <v>99</v>
      </c>
      <c r="D308" s="617" t="s">
        <v>540</v>
      </c>
      <c r="F308" s="122"/>
      <c r="H308" s="617">
        <f>IF(ISNUMBER(SEARCH(HOME_Country,TablePays[[#This Row],[Country_Names]])),1,0)</f>
        <v>1</v>
      </c>
      <c r="I308" s="32" t="str">
        <f>IF(J308&lt;&gt;"",INDEX(TablePays[Country_Names],J308),"")</f>
        <v>Mozambique</v>
      </c>
      <c r="J308" s="32">
        <f t="array" ref="J308">IFERROR(MATCH(0,COUNTIF($I$184:I307,TablePays[Country_Names])+IF($H$185:$H$390=0,1,0),0),"")</f>
        <v>124</v>
      </c>
    </row>
    <row r="309" spans="2:10" x14ac:dyDescent="0.2">
      <c r="B309" s="617" t="s">
        <v>568</v>
      </c>
      <c r="C309" s="617">
        <v>99</v>
      </c>
      <c r="D309" s="617" t="s">
        <v>540</v>
      </c>
      <c r="F309" s="122"/>
      <c r="H309" s="617">
        <f>IF(ISNUMBER(SEARCH(HOME_Country,TablePays[[#This Row],[Country_Names]])),1,0)</f>
        <v>1</v>
      </c>
      <c r="I309" s="32" t="str">
        <f>IF(J309&lt;&gt;"",INDEX(TablePays[Country_Names],J309),"")</f>
        <v>Namibia</v>
      </c>
      <c r="J309" s="32">
        <f t="array" ref="J309">IFERROR(MATCH(0,COUNTIF($I$184:I308,TablePays[Country_Names])+IF($H$185:$H$390=0,1,0),0),"")</f>
        <v>125</v>
      </c>
    </row>
    <row r="310" spans="2:10" x14ac:dyDescent="0.2">
      <c r="B310" s="617" t="s">
        <v>648</v>
      </c>
      <c r="C310" s="617">
        <v>99</v>
      </c>
      <c r="D310" s="617" t="s">
        <v>644</v>
      </c>
      <c r="F310" s="122"/>
      <c r="H310" s="617">
        <f>IF(ISNUMBER(SEARCH(HOME_Country,TablePays[[#This Row],[Country_Names]])),1,0)</f>
        <v>1</v>
      </c>
      <c r="I310" s="32" t="str">
        <f>IF(J310&lt;&gt;"",INDEX(TablePays[Country_Names],J310),"")</f>
        <v>Nauru</v>
      </c>
      <c r="J310" s="32">
        <f t="array" ref="J310">IFERROR(MATCH(0,COUNTIF($I$184:I309,TablePays[Country_Names])+IF($H$185:$H$390=0,1,0),0),"")</f>
        <v>126</v>
      </c>
    </row>
    <row r="311" spans="2:10" x14ac:dyDescent="0.2">
      <c r="B311" s="617" t="s">
        <v>601</v>
      </c>
      <c r="C311" s="617">
        <v>99</v>
      </c>
      <c r="D311" s="617" t="s">
        <v>582</v>
      </c>
      <c r="F311" s="122"/>
      <c r="H311" s="617">
        <f>IF(ISNUMBER(SEARCH(HOME_Country,TablePays[[#This Row],[Country_Names]])),1,0)</f>
        <v>1</v>
      </c>
      <c r="I311" s="32" t="str">
        <f>IF(J311&lt;&gt;"",INDEX(TablePays[Country_Names],J311),"")</f>
        <v>Nepal</v>
      </c>
      <c r="J311" s="32">
        <f t="array" ref="J311">IFERROR(MATCH(0,COUNTIF($I$184:I310,TablePays[Country_Names])+IF($H$185:$H$390=0,1,0),0),"")</f>
        <v>127</v>
      </c>
    </row>
    <row r="312" spans="2:10" x14ac:dyDescent="0.2">
      <c r="B312" s="122" t="s">
        <v>445</v>
      </c>
      <c r="C312" s="122">
        <f>7-1</f>
        <v>6</v>
      </c>
      <c r="D312" s="617" t="s">
        <v>487</v>
      </c>
      <c r="E312" s="32">
        <v>1</v>
      </c>
      <c r="F312" s="122" t="s">
        <v>755</v>
      </c>
      <c r="H312" s="617">
        <f>IF(ISNUMBER(SEARCH(HOME_Country,TablePays[[#This Row],[Country_Names]])),1,0)</f>
        <v>1</v>
      </c>
      <c r="I312" s="32" t="str">
        <f>IF(J312&lt;&gt;"",INDEX(TablePays[Country_Names],J312),"")</f>
        <v>Netherlands</v>
      </c>
      <c r="J312" s="32">
        <f t="array" ref="J312">IFERROR(MATCH(0,COUNTIF($I$184:I311,TablePays[Country_Names])+IF($H$185:$H$390=0,1,0),0),"")</f>
        <v>128</v>
      </c>
    </row>
    <row r="313" spans="2:10" x14ac:dyDescent="0.2">
      <c r="B313" s="122" t="s">
        <v>464</v>
      </c>
      <c r="C313" s="122">
        <v>16</v>
      </c>
      <c r="D313" s="617" t="s">
        <v>644</v>
      </c>
      <c r="E313" s="32">
        <v>1</v>
      </c>
      <c r="F313" s="122" t="s">
        <v>753</v>
      </c>
      <c r="H313" s="617">
        <f>IF(ISNUMBER(SEARCH(HOME_Country,TablePays[[#This Row],[Country_Names]])),1,0)</f>
        <v>1</v>
      </c>
      <c r="I313" s="32" t="str">
        <f>IF(J313&lt;&gt;"",INDEX(TablePays[Country_Names],J313),"")</f>
        <v>New Zealand</v>
      </c>
      <c r="J313" s="32">
        <f t="array" ref="J313">IFERROR(MATCH(0,COUNTIF($I$184:I312,TablePays[Country_Names])+IF($H$185:$H$390=0,1,0),0),"")</f>
        <v>129</v>
      </c>
    </row>
    <row r="314" spans="2:10" x14ac:dyDescent="0.2">
      <c r="B314" s="617" t="s">
        <v>642</v>
      </c>
      <c r="C314" s="617">
        <v>99</v>
      </c>
      <c r="D314" s="617" t="s">
        <v>678</v>
      </c>
      <c r="F314" s="122"/>
      <c r="H314" s="617">
        <f>IF(ISNUMBER(SEARCH(HOME_Country,TablePays[[#This Row],[Country_Names]])),1,0)</f>
        <v>1</v>
      </c>
      <c r="I314" s="32" t="str">
        <f>IF(J314&lt;&gt;"",INDEX(TablePays[Country_Names],J314),"")</f>
        <v>Nicaragua</v>
      </c>
      <c r="J314" s="32">
        <f t="array" ref="J314">IFERROR(MATCH(0,COUNTIF($I$184:I313,TablePays[Country_Names])+IF($H$185:$H$390=0,1,0),0),"")</f>
        <v>130</v>
      </c>
    </row>
    <row r="315" spans="2:10" x14ac:dyDescent="0.2">
      <c r="B315" s="617" t="s">
        <v>569</v>
      </c>
      <c r="C315" s="617">
        <v>99</v>
      </c>
      <c r="D315" s="617" t="s">
        <v>540</v>
      </c>
      <c r="F315" s="122"/>
      <c r="H315" s="617">
        <f>IF(ISNUMBER(SEARCH(HOME_Country,TablePays[[#This Row],[Country_Names]])),1,0)</f>
        <v>1</v>
      </c>
      <c r="I315" s="32" t="str">
        <f>IF(J315&lt;&gt;"",INDEX(TablePays[Country_Names],J315),"")</f>
        <v>Niger</v>
      </c>
      <c r="J315" s="32">
        <f t="array" ref="J315">IFERROR(MATCH(0,COUNTIF($I$184:I314,TablePays[Country_Names])+IF($H$185:$H$390=0,1,0),0),"")</f>
        <v>131</v>
      </c>
    </row>
    <row r="316" spans="2:10" x14ac:dyDescent="0.2">
      <c r="B316" s="617" t="s">
        <v>538</v>
      </c>
      <c r="C316" s="617">
        <v>21</v>
      </c>
      <c r="D316" s="617" t="s">
        <v>540</v>
      </c>
      <c r="E316" s="32">
        <v>1</v>
      </c>
      <c r="F316" s="122" t="s">
        <v>747</v>
      </c>
      <c r="H316" s="617">
        <f>IF(ISNUMBER(SEARCH(HOME_Country,TablePays[[#This Row],[Country_Names]])),1,0)</f>
        <v>1</v>
      </c>
      <c r="I316" s="32" t="str">
        <f>IF(J316&lt;&gt;"",INDEX(TablePays[Country_Names],J316),"")</f>
        <v>Nigeria</v>
      </c>
      <c r="J316" s="32">
        <f t="array" ref="J316">IFERROR(MATCH(0,COUNTIF($I$184:I315,TablePays[Country_Names])+IF($H$185:$H$390=0,1,0),0),"")</f>
        <v>132</v>
      </c>
    </row>
    <row r="317" spans="2:10" x14ac:dyDescent="0.2">
      <c r="B317" s="122" t="s">
        <v>452</v>
      </c>
      <c r="C317" s="122">
        <f>9-3</f>
        <v>6</v>
      </c>
      <c r="D317" s="617" t="s">
        <v>487</v>
      </c>
      <c r="E317" s="32">
        <v>1</v>
      </c>
      <c r="F317" s="122" t="s">
        <v>757</v>
      </c>
      <c r="H317" s="617">
        <f>IF(ISNUMBER(SEARCH(HOME_Country,TablePays[[#This Row],[Country_Names]])),1,0)</f>
        <v>1</v>
      </c>
      <c r="I317" s="32" t="str">
        <f>IF(J317&lt;&gt;"",INDEX(TablePays[Country_Names],J317),"")</f>
        <v>Norway</v>
      </c>
      <c r="J317" s="32">
        <f t="array" ref="J317">IFERROR(MATCH(0,COUNTIF($I$184:I316,TablePays[Country_Names])+IF($H$185:$H$390=0,1,0),0),"")</f>
        <v>133</v>
      </c>
    </row>
    <row r="318" spans="2:10" x14ac:dyDescent="0.2">
      <c r="B318" s="617" t="s">
        <v>602</v>
      </c>
      <c r="C318" s="617">
        <v>99</v>
      </c>
      <c r="D318" s="617" t="s">
        <v>582</v>
      </c>
      <c r="F318" s="122"/>
      <c r="H318" s="617">
        <f>IF(ISNUMBER(SEARCH(HOME_Country,TablePays[[#This Row],[Country_Names]])),1,0)</f>
        <v>1</v>
      </c>
      <c r="I318" s="32" t="str">
        <f>IF(J318&lt;&gt;"",INDEX(TablePays[Country_Names],J318),"")</f>
        <v>Oman</v>
      </c>
      <c r="J318" s="32">
        <f t="array" ref="J318">IFERROR(MATCH(0,COUNTIF($I$184:I317,TablePays[Country_Names])+IF($H$185:$H$390=0,1,0),0),"")</f>
        <v>134</v>
      </c>
    </row>
    <row r="319" spans="2:10" x14ac:dyDescent="0.2">
      <c r="B319" s="122" t="s">
        <v>474</v>
      </c>
      <c r="C319" s="617">
        <v>99</v>
      </c>
      <c r="D319" s="617" t="s">
        <v>690</v>
      </c>
      <c r="E319" s="32">
        <v>1</v>
      </c>
      <c r="F319" s="122"/>
      <c r="H319" s="617">
        <f>IF(ISNUMBER(SEARCH(HOME_Country,TablePays[[#This Row],[Country_Names]])),1,0)</f>
        <v>1</v>
      </c>
      <c r="I319" s="32" t="str">
        <f>IF(J319&lt;&gt;"",INDEX(TablePays[Country_Names],J319),"")</f>
        <v>Other (Not listed here)</v>
      </c>
      <c r="J319" s="32">
        <f t="array" ref="J319">IFERROR(MATCH(0,COUNTIF($I$184:I318,TablePays[Country_Names])+IF($H$185:$H$390=0,1,0),0),"")</f>
        <v>135</v>
      </c>
    </row>
    <row r="320" spans="2:10" x14ac:dyDescent="0.2">
      <c r="B320" s="122" t="s">
        <v>471</v>
      </c>
      <c r="C320" s="122">
        <v>20</v>
      </c>
      <c r="D320" s="617" t="s">
        <v>582</v>
      </c>
      <c r="E320" s="32">
        <v>1</v>
      </c>
      <c r="F320" s="122" t="s">
        <v>750</v>
      </c>
      <c r="H320" s="617">
        <f>IF(ISNUMBER(SEARCH(HOME_Country,TablePays[[#This Row],[Country_Names]])),1,0)</f>
        <v>1</v>
      </c>
      <c r="I320" s="32" t="str">
        <f>IF(J320&lt;&gt;"",INDEX(TablePays[Country_Names],J320),"")</f>
        <v>Pakistan</v>
      </c>
      <c r="J320" s="32">
        <f t="array" ref="J320">IFERROR(MATCH(0,COUNTIF($I$184:I319,TablePays[Country_Names])+IF($H$185:$H$390=0,1,0),0),"")</f>
        <v>136</v>
      </c>
    </row>
    <row r="321" spans="2:10" x14ac:dyDescent="0.2">
      <c r="B321" s="617" t="s">
        <v>649</v>
      </c>
      <c r="C321" s="617">
        <v>99</v>
      </c>
      <c r="D321" s="617" t="s">
        <v>644</v>
      </c>
      <c r="F321" s="122"/>
      <c r="H321" s="617">
        <f>IF(ISNUMBER(SEARCH(HOME_Country,TablePays[[#This Row],[Country_Names]])),1,0)</f>
        <v>1</v>
      </c>
      <c r="I321" s="32" t="str">
        <f>IF(J321&lt;&gt;"",INDEX(TablePays[Country_Names],J321),"")</f>
        <v>Palau</v>
      </c>
      <c r="J321" s="32">
        <f t="array" ref="J321">IFERROR(MATCH(0,COUNTIF($I$184:I320,TablePays[Country_Names])+IF($H$185:$H$390=0,1,0),0),"")</f>
        <v>137</v>
      </c>
    </row>
    <row r="322" spans="2:10" x14ac:dyDescent="0.2">
      <c r="B322" s="617" t="s">
        <v>643</v>
      </c>
      <c r="C322" s="617">
        <v>99</v>
      </c>
      <c r="D322" s="617" t="s">
        <v>678</v>
      </c>
      <c r="F322" s="122"/>
      <c r="H322" s="617">
        <f>IF(ISNUMBER(SEARCH(HOME_Country,TablePays[[#This Row],[Country_Names]])),1,0)</f>
        <v>1</v>
      </c>
      <c r="I322" s="32" t="str">
        <f>IF(J322&lt;&gt;"",INDEX(TablePays[Country_Names],J322),"")</f>
        <v>Panama</v>
      </c>
      <c r="J322" s="32">
        <f t="array" ref="J322">IFERROR(MATCH(0,COUNTIF($I$184:I321,TablePays[Country_Names])+IF($H$185:$H$390=0,1,0),0),"")</f>
        <v>138</v>
      </c>
    </row>
    <row r="323" spans="2:10" x14ac:dyDescent="0.2">
      <c r="B323" s="617" t="s">
        <v>687</v>
      </c>
      <c r="C323" s="617">
        <v>99</v>
      </c>
      <c r="D323" s="617" t="s">
        <v>644</v>
      </c>
      <c r="F323" s="122"/>
      <c r="H323" s="617">
        <f>IF(ISNUMBER(SEARCH(HOME_Country,TablePays[[#This Row],[Country_Names]])),1,0)</f>
        <v>1</v>
      </c>
      <c r="I323" s="32" t="str">
        <f>IF(J323&lt;&gt;"",INDEX(TablePays[Country_Names],J323),"")</f>
        <v>Papua New Guinea</v>
      </c>
      <c r="J323" s="32">
        <f t="array" ref="J323">IFERROR(MATCH(0,COUNTIF($I$184:I322,TablePays[Country_Names])+IF($H$185:$H$390=0,1,0),0),"")</f>
        <v>139</v>
      </c>
    </row>
    <row r="324" spans="2:10" x14ac:dyDescent="0.2">
      <c r="B324" s="617" t="s">
        <v>657</v>
      </c>
      <c r="C324" s="617">
        <v>99</v>
      </c>
      <c r="D324" s="617" t="s">
        <v>689</v>
      </c>
      <c r="F324" s="122"/>
      <c r="H324" s="617">
        <f>IF(ISNUMBER(SEARCH(HOME_Country,TablePays[[#This Row],[Country_Names]])),1,0)</f>
        <v>1</v>
      </c>
      <c r="I324" s="32" t="str">
        <f>IF(J324&lt;&gt;"",INDEX(TablePays[Country_Names],J324),"")</f>
        <v>Paraguay</v>
      </c>
      <c r="J324" s="32">
        <f t="array" ref="J324">IFERROR(MATCH(0,COUNTIF($I$184:I323,TablePays[Country_Names])+IF($H$185:$H$390=0,1,0),0),"")</f>
        <v>140</v>
      </c>
    </row>
    <row r="325" spans="2:10" x14ac:dyDescent="0.2">
      <c r="B325" s="122" t="s">
        <v>466</v>
      </c>
      <c r="C325" s="122">
        <v>19</v>
      </c>
      <c r="D325" s="617" t="s">
        <v>689</v>
      </c>
      <c r="E325" s="32">
        <v>1</v>
      </c>
      <c r="F325" s="122" t="s">
        <v>760</v>
      </c>
      <c r="H325" s="617">
        <f>IF(ISNUMBER(SEARCH(HOME_Country,TablePays[[#This Row],[Country_Names]])),1,0)</f>
        <v>1</v>
      </c>
      <c r="I325" s="32" t="str">
        <f>IF(J325&lt;&gt;"",INDEX(TablePays[Country_Names],J325),"")</f>
        <v>Peru</v>
      </c>
      <c r="J325" s="32">
        <f t="array" ref="J325">IFERROR(MATCH(0,COUNTIF($I$184:I324,TablePays[Country_Names])+IF($H$185:$H$390=0,1,0),0),"")</f>
        <v>141</v>
      </c>
    </row>
    <row r="326" spans="2:10" x14ac:dyDescent="0.2">
      <c r="B326" s="122" t="s">
        <v>463</v>
      </c>
      <c r="C326" s="122">
        <v>15</v>
      </c>
      <c r="D326" s="617" t="s">
        <v>582</v>
      </c>
      <c r="E326" s="32">
        <v>1</v>
      </c>
      <c r="F326" s="122" t="s">
        <v>751</v>
      </c>
      <c r="H326" s="617">
        <f>IF(ISNUMBER(SEARCH(HOME_Country,TablePays[[#This Row],[Country_Names]])),1,0)</f>
        <v>1</v>
      </c>
      <c r="I326" s="32" t="str">
        <f>IF(J326&lt;&gt;"",INDEX(TablePays[Country_Names],J326),"")</f>
        <v>Philippines</v>
      </c>
      <c r="J326" s="32">
        <f t="array" ref="J326">IFERROR(MATCH(0,COUNTIF($I$184:I325,TablePays[Country_Names])+IF($H$185:$H$390=0,1,0),0),"")</f>
        <v>142</v>
      </c>
    </row>
    <row r="327" spans="2:10" x14ac:dyDescent="0.2">
      <c r="B327" s="122" t="s">
        <v>436</v>
      </c>
      <c r="C327" s="122">
        <v>6</v>
      </c>
      <c r="D327" s="617" t="s">
        <v>487</v>
      </c>
      <c r="E327" s="32">
        <v>1</v>
      </c>
      <c r="F327" s="122" t="s">
        <v>754</v>
      </c>
      <c r="H327" s="617">
        <f>IF(ISNUMBER(SEARCH(HOME_Country,TablePays[[#This Row],[Country_Names]])),1,0)</f>
        <v>1</v>
      </c>
      <c r="I327" s="32" t="str">
        <f>IF(J327&lt;&gt;"",INDEX(TablePays[Country_Names],J327),"")</f>
        <v>Poland</v>
      </c>
      <c r="J327" s="32">
        <f t="array" ref="J327">IFERROR(MATCH(0,COUNTIF($I$184:I326,TablePays[Country_Names])+IF($H$185:$H$390=0,1,0),0),"")</f>
        <v>143</v>
      </c>
    </row>
    <row r="328" spans="2:10" x14ac:dyDescent="0.2">
      <c r="B328" s="122" t="s">
        <v>448</v>
      </c>
      <c r="C328" s="122">
        <f>8-2</f>
        <v>6</v>
      </c>
      <c r="D328" s="617" t="s">
        <v>487</v>
      </c>
      <c r="E328" s="32">
        <v>1</v>
      </c>
      <c r="F328" s="122" t="s">
        <v>756</v>
      </c>
      <c r="H328" s="617">
        <f>IF(ISNUMBER(SEARCH(HOME_Country,TablePays[[#This Row],[Country_Names]])),1,0)</f>
        <v>1</v>
      </c>
      <c r="I328" s="32" t="str">
        <f>IF(J328&lt;&gt;"",INDEX(TablePays[Country_Names],J328),"")</f>
        <v>Portugal</v>
      </c>
      <c r="J328" s="32">
        <f t="array" ref="J328">IFERROR(MATCH(0,COUNTIF($I$184:I327,TablePays[Country_Names])+IF($H$185:$H$390=0,1,0),0),"")</f>
        <v>144</v>
      </c>
    </row>
    <row r="329" spans="2:10" x14ac:dyDescent="0.2">
      <c r="B329" s="617" t="s">
        <v>603</v>
      </c>
      <c r="C329" s="617">
        <v>99</v>
      </c>
      <c r="D329" s="617" t="s">
        <v>582</v>
      </c>
      <c r="F329" s="122"/>
      <c r="H329" s="617">
        <f>IF(ISNUMBER(SEARCH(HOME_Country,TablePays[[#This Row],[Country_Names]])),1,0)</f>
        <v>1</v>
      </c>
      <c r="I329" s="32" t="str">
        <f>IF(J329&lt;&gt;"",INDEX(TablePays[Country_Names],J329),"")</f>
        <v>Qatar</v>
      </c>
      <c r="J329" s="32">
        <f t="array" ref="J329">IFERROR(MATCH(0,COUNTIF($I$184:I328,TablePays[Country_Names])+IF($H$185:$H$390=0,1,0),0),"")</f>
        <v>145</v>
      </c>
    </row>
    <row r="330" spans="2:10" x14ac:dyDescent="0.2">
      <c r="B330" s="122" t="s">
        <v>415</v>
      </c>
      <c r="C330" s="122">
        <v>10</v>
      </c>
      <c r="D330" s="617" t="s">
        <v>487</v>
      </c>
      <c r="E330" s="32">
        <v>1</v>
      </c>
      <c r="F330" s="122" t="s">
        <v>758</v>
      </c>
      <c r="H330" s="617">
        <f>IF(ISNUMBER(SEARCH(HOME_Country,TablePays[[#This Row],[Country_Names]])),1,0)</f>
        <v>1</v>
      </c>
      <c r="I330" s="32" t="str">
        <f>IF(J330&lt;&gt;"",INDEX(TablePays[Country_Names],J330),"")</f>
        <v>Romania</v>
      </c>
      <c r="J330" s="32">
        <f t="array" ref="J330">IFERROR(MATCH(0,COUNTIF($I$184:I329,TablePays[Country_Names])+IF($H$185:$H$390=0,1,0),0),"")</f>
        <v>146</v>
      </c>
    </row>
    <row r="331" spans="2:10" x14ac:dyDescent="0.2">
      <c r="B331" s="617" t="s">
        <v>670</v>
      </c>
      <c r="C331" s="617">
        <v>99</v>
      </c>
      <c r="D331" s="617" t="s">
        <v>582</v>
      </c>
      <c r="F331" s="122"/>
      <c r="H331" s="617">
        <f>IF(ISNUMBER(SEARCH(HOME_Country,TablePays[[#This Row],[Country_Names]])),1,0)</f>
        <v>1</v>
      </c>
      <c r="I331" s="32" t="str">
        <f>IF(J331&lt;&gt;"",INDEX(TablePays[Country_Names],J331),"")</f>
        <v>Russian Federation</v>
      </c>
      <c r="J331" s="32">
        <f t="array" ref="J331">IFERROR(MATCH(0,COUNTIF($I$184:I330,TablePays[Country_Names])+IF($H$185:$H$390=0,1,0),0),"")</f>
        <v>147</v>
      </c>
    </row>
    <row r="332" spans="2:10" x14ac:dyDescent="0.2">
      <c r="B332" s="617" t="s">
        <v>570</v>
      </c>
      <c r="C332" s="617">
        <v>99</v>
      </c>
      <c r="D332" s="617" t="s">
        <v>540</v>
      </c>
      <c r="F332" s="122"/>
      <c r="H332" s="617">
        <f>IF(ISNUMBER(SEARCH(HOME_Country,TablePays[[#This Row],[Country_Names]])),1,0)</f>
        <v>1</v>
      </c>
      <c r="I332" s="32" t="str">
        <f>IF(J332&lt;&gt;"",INDEX(TablePays[Country_Names],J332),"")</f>
        <v>Rwanda</v>
      </c>
      <c r="J332" s="32">
        <f t="array" ref="J332">IFERROR(MATCH(0,COUNTIF($I$184:I331,TablePays[Country_Names])+IF($H$185:$H$390=0,1,0),0),"")</f>
        <v>148</v>
      </c>
    </row>
    <row r="333" spans="2:10" x14ac:dyDescent="0.2">
      <c r="B333" s="617" t="s">
        <v>682</v>
      </c>
      <c r="C333" s="617">
        <v>99</v>
      </c>
      <c r="D333" s="617" t="s">
        <v>678</v>
      </c>
      <c r="F333" s="122"/>
      <c r="H333" s="617">
        <f>IF(ISNUMBER(SEARCH(HOME_Country,TablePays[[#This Row],[Country_Names]])),1,0)</f>
        <v>1</v>
      </c>
      <c r="I333" s="32" t="str">
        <f>IF(J333&lt;&gt;"",INDEX(TablePays[Country_Names],J333),"")</f>
        <v>Saint Kitts and Nevis</v>
      </c>
      <c r="J333" s="32">
        <f t="array" ref="J333">IFERROR(MATCH(0,COUNTIF($I$184:I332,TablePays[Country_Names])+IF($H$185:$H$390=0,1,0),0),"")</f>
        <v>149</v>
      </c>
    </row>
    <row r="334" spans="2:10" x14ac:dyDescent="0.2">
      <c r="B334" s="617" t="s">
        <v>683</v>
      </c>
      <c r="C334" s="617">
        <v>99</v>
      </c>
      <c r="D334" s="617" t="s">
        <v>678</v>
      </c>
      <c r="F334" s="122"/>
      <c r="H334" s="617">
        <f>IF(ISNUMBER(SEARCH(HOME_Country,TablePays[[#This Row],[Country_Names]])),1,0)</f>
        <v>1</v>
      </c>
      <c r="I334" s="32" t="str">
        <f>IF(J334&lt;&gt;"",INDEX(TablePays[Country_Names],J334),"")</f>
        <v>Saint Lucia</v>
      </c>
      <c r="J334" s="32">
        <f t="array" ref="J334">IFERROR(MATCH(0,COUNTIF($I$184:I333,TablePays[Country_Names])+IF($H$185:$H$390=0,1,0),0),"")</f>
        <v>150</v>
      </c>
    </row>
    <row r="335" spans="2:10" x14ac:dyDescent="0.2">
      <c r="B335" s="617" t="s">
        <v>684</v>
      </c>
      <c r="C335" s="617">
        <v>99</v>
      </c>
      <c r="D335" s="617" t="s">
        <v>678</v>
      </c>
      <c r="F335" s="122"/>
      <c r="H335" s="617">
        <f>IF(ISNUMBER(SEARCH(HOME_Country,TablePays[[#This Row],[Country_Names]])),1,0)</f>
        <v>1</v>
      </c>
      <c r="I335" s="32" t="str">
        <f>IF(J335&lt;&gt;"",INDEX(TablePays[Country_Names],J335),"")</f>
        <v>Saint Vincent and the Grenadines</v>
      </c>
      <c r="J335" s="32">
        <f t="array" ref="J335">IFERROR(MATCH(0,COUNTIF($I$184:I334,TablePays[Country_Names])+IF($H$185:$H$390=0,1,0),0),"")</f>
        <v>151</v>
      </c>
    </row>
    <row r="336" spans="2:10" x14ac:dyDescent="0.2">
      <c r="B336" s="617" t="s">
        <v>650</v>
      </c>
      <c r="C336" s="617">
        <v>99</v>
      </c>
      <c r="D336" s="617" t="s">
        <v>644</v>
      </c>
      <c r="F336" s="122"/>
      <c r="H336" s="617">
        <f>IF(ISNUMBER(SEARCH(HOME_Country,TablePays[[#This Row],[Country_Names]])),1,0)</f>
        <v>1</v>
      </c>
      <c r="I336" s="32" t="str">
        <f>IF(J336&lt;&gt;"",INDEX(TablePays[Country_Names],J336),"")</f>
        <v>Samoa</v>
      </c>
      <c r="J336" s="32">
        <f t="array" ref="J336">IFERROR(MATCH(0,COUNTIF($I$184:I335,TablePays[Country_Names])+IF($H$185:$H$390=0,1,0),0),"")</f>
        <v>152</v>
      </c>
    </row>
    <row r="337" spans="2:10" x14ac:dyDescent="0.2">
      <c r="B337" s="617" t="s">
        <v>675</v>
      </c>
      <c r="C337" s="617">
        <v>99</v>
      </c>
      <c r="D337" s="617" t="s">
        <v>487</v>
      </c>
      <c r="F337" s="122"/>
      <c r="H337" s="617">
        <f>IF(ISNUMBER(SEARCH(HOME_Country,TablePays[[#This Row],[Country_Names]])),1,0)</f>
        <v>1</v>
      </c>
      <c r="I337" s="32" t="str">
        <f>IF(J337&lt;&gt;"",INDEX(TablePays[Country_Names],J337),"")</f>
        <v>San Marino</v>
      </c>
      <c r="J337" s="32">
        <f t="array" ref="J337">IFERROR(MATCH(0,COUNTIF($I$184:I336,TablePays[Country_Names])+IF($H$185:$H$390=0,1,0),0),"")</f>
        <v>153</v>
      </c>
    </row>
    <row r="338" spans="2:10" x14ac:dyDescent="0.2">
      <c r="B338" s="617" t="s">
        <v>665</v>
      </c>
      <c r="C338" s="617">
        <v>99</v>
      </c>
      <c r="D338" s="617" t="s">
        <v>540</v>
      </c>
      <c r="F338" s="122"/>
      <c r="H338" s="617">
        <f>IF(ISNUMBER(SEARCH(HOME_Country,TablePays[[#This Row],[Country_Names]])),1,0)</f>
        <v>1</v>
      </c>
      <c r="I338" s="32" t="str">
        <f>IF(J338&lt;&gt;"",INDEX(TablePays[Country_Names],J338),"")</f>
        <v>Sao Tome and Principe</v>
      </c>
      <c r="J338" s="32">
        <f t="array" ref="J338">IFERROR(MATCH(0,COUNTIF($I$184:I337,TablePays[Country_Names])+IF($H$185:$H$390=0,1,0),0),"")</f>
        <v>154</v>
      </c>
    </row>
    <row r="339" spans="2:10" x14ac:dyDescent="0.2">
      <c r="B339" s="617" t="s">
        <v>671</v>
      </c>
      <c r="C339" s="617">
        <v>99</v>
      </c>
      <c r="D339" s="617" t="s">
        <v>582</v>
      </c>
      <c r="F339" s="122"/>
      <c r="H339" s="617">
        <f>IF(ISNUMBER(SEARCH(HOME_Country,TablePays[[#This Row],[Country_Names]])),1,0)</f>
        <v>1</v>
      </c>
      <c r="I339" s="32" t="str">
        <f>IF(J339&lt;&gt;"",INDEX(TablePays[Country_Names],J339),"")</f>
        <v>Saudi Arabia</v>
      </c>
      <c r="J339" s="32">
        <f t="array" ref="J339">IFERROR(MATCH(0,COUNTIF($I$184:I338,TablePays[Country_Names])+IF($H$185:$H$390=0,1,0),0),"")</f>
        <v>155</v>
      </c>
    </row>
    <row r="340" spans="2:10" x14ac:dyDescent="0.2">
      <c r="B340" s="617" t="s">
        <v>571</v>
      </c>
      <c r="C340" s="617">
        <v>99</v>
      </c>
      <c r="D340" s="617" t="s">
        <v>540</v>
      </c>
      <c r="F340" s="122"/>
      <c r="H340" s="617">
        <f>IF(ISNUMBER(SEARCH(HOME_Country,TablePays[[#This Row],[Country_Names]])),1,0)</f>
        <v>1</v>
      </c>
      <c r="I340" s="32" t="str">
        <f>IF(J340&lt;&gt;"",INDEX(TablePays[Country_Names],J340),"")</f>
        <v>Senegal</v>
      </c>
      <c r="J340" s="32">
        <f t="array" ref="J340">IFERROR(MATCH(0,COUNTIF($I$184:I339,TablePays[Country_Names])+IF($H$185:$H$390=0,1,0),0),"")</f>
        <v>156</v>
      </c>
    </row>
    <row r="341" spans="2:10" x14ac:dyDescent="0.2">
      <c r="B341" s="617" t="s">
        <v>629</v>
      </c>
      <c r="C341" s="617">
        <v>99</v>
      </c>
      <c r="D341" s="617" t="s">
        <v>487</v>
      </c>
      <c r="F341" s="122"/>
      <c r="H341" s="617">
        <f>IF(ISNUMBER(SEARCH(HOME_Country,TablePays[[#This Row],[Country_Names]])),1,0)</f>
        <v>1</v>
      </c>
      <c r="I341" s="32" t="str">
        <f>IF(J341&lt;&gt;"",INDEX(TablePays[Country_Names],J341),"")</f>
        <v>Serbia</v>
      </c>
      <c r="J341" s="32">
        <f t="array" ref="J341">IFERROR(MATCH(0,COUNTIF($I$184:I340,TablePays[Country_Names])+IF($H$185:$H$390=0,1,0),0),"")</f>
        <v>157</v>
      </c>
    </row>
    <row r="342" spans="2:10" x14ac:dyDescent="0.2">
      <c r="B342" s="617" t="s">
        <v>572</v>
      </c>
      <c r="C342" s="617">
        <v>99</v>
      </c>
      <c r="D342" s="617" t="s">
        <v>540</v>
      </c>
      <c r="F342" s="122"/>
      <c r="H342" s="617">
        <f>IF(ISNUMBER(SEARCH(HOME_Country,TablePays[[#This Row],[Country_Names]])),1,0)</f>
        <v>1</v>
      </c>
      <c r="I342" s="32" t="str">
        <f>IF(J342&lt;&gt;"",INDEX(TablePays[Country_Names],J342),"")</f>
        <v>Seychelles</v>
      </c>
      <c r="J342" s="32">
        <f t="array" ref="J342">IFERROR(MATCH(0,COUNTIF($I$184:I341,TablePays[Country_Names])+IF($H$185:$H$390=0,1,0),0),"")</f>
        <v>158</v>
      </c>
    </row>
    <row r="343" spans="2:10" x14ac:dyDescent="0.2">
      <c r="B343" s="617" t="s">
        <v>666</v>
      </c>
      <c r="C343" s="617">
        <v>99</v>
      </c>
      <c r="D343" s="617" t="s">
        <v>540</v>
      </c>
      <c r="F343" s="122"/>
      <c r="H343" s="617">
        <f>IF(ISNUMBER(SEARCH(HOME_Country,TablePays[[#This Row],[Country_Names]])),1,0)</f>
        <v>1</v>
      </c>
      <c r="I343" s="32" t="str">
        <f>IF(J343&lt;&gt;"",INDEX(TablePays[Country_Names],J343),"")</f>
        <v>Sierra Leone</v>
      </c>
      <c r="J343" s="32">
        <f t="array" ref="J343">IFERROR(MATCH(0,COUNTIF($I$184:I342,TablePays[Country_Names])+IF($H$185:$H$390=0,1,0),0),"")</f>
        <v>159</v>
      </c>
    </row>
    <row r="344" spans="2:10" x14ac:dyDescent="0.2">
      <c r="B344" s="122" t="s">
        <v>458</v>
      </c>
      <c r="C344" s="122">
        <v>12</v>
      </c>
      <c r="D344" s="617" t="s">
        <v>582</v>
      </c>
      <c r="E344" s="32">
        <v>1</v>
      </c>
      <c r="F344" s="122" t="s">
        <v>751</v>
      </c>
      <c r="H344" s="617">
        <f>IF(ISNUMBER(SEARCH(HOME_Country,TablePays[[#This Row],[Country_Names]])),1,0)</f>
        <v>1</v>
      </c>
      <c r="I344" s="32" t="str">
        <f>IF(J344&lt;&gt;"",INDEX(TablePays[Country_Names],J344),"")</f>
        <v>Singapor</v>
      </c>
      <c r="J344" s="32">
        <f t="array" ref="J344">IFERROR(MATCH(0,COUNTIF($I$184:I343,TablePays[Country_Names])+IF($H$185:$H$390=0,1,0),0),"")</f>
        <v>160</v>
      </c>
    </row>
    <row r="345" spans="2:10" x14ac:dyDescent="0.2">
      <c r="B345" s="617" t="s">
        <v>604</v>
      </c>
      <c r="C345" s="617">
        <v>99</v>
      </c>
      <c r="D345" s="617" t="s">
        <v>582</v>
      </c>
      <c r="F345" s="122"/>
      <c r="H345" s="617">
        <f>IF(ISNUMBER(SEARCH(HOME_Country,TablePays[[#This Row],[Country_Names]])),1,0)</f>
        <v>1</v>
      </c>
      <c r="I345" s="32" t="str">
        <f>IF(J345&lt;&gt;"",INDEX(TablePays[Country_Names],J345),"")</f>
        <v>Singapore</v>
      </c>
      <c r="J345" s="32">
        <f t="array" ref="J345">IFERROR(MATCH(0,COUNTIF($I$184:I344,TablePays[Country_Names])+IF($H$185:$H$390=0,1,0),0),"")</f>
        <v>161</v>
      </c>
    </row>
    <row r="346" spans="2:10" x14ac:dyDescent="0.2">
      <c r="B346" s="122" t="s">
        <v>438</v>
      </c>
      <c r="C346" s="122">
        <v>6</v>
      </c>
      <c r="D346" s="617" t="s">
        <v>487</v>
      </c>
      <c r="E346" s="32">
        <v>1</v>
      </c>
      <c r="F346" s="122" t="s">
        <v>754</v>
      </c>
      <c r="H346" s="617">
        <f>IF(ISNUMBER(SEARCH(HOME_Country,TablePays[[#This Row],[Country_Names]])),1,0)</f>
        <v>1</v>
      </c>
      <c r="I346" s="32" t="str">
        <f>IF(J346&lt;&gt;"",INDEX(TablePays[Country_Names],J346),"")</f>
        <v>Slovakia</v>
      </c>
      <c r="J346" s="32">
        <f t="array" ref="J346">IFERROR(MATCH(0,COUNTIF($I$184:I345,TablePays[Country_Names])+IF($H$185:$H$390=0,1,0),0),"")</f>
        <v>162</v>
      </c>
    </row>
    <row r="347" spans="2:10" x14ac:dyDescent="0.2">
      <c r="B347" s="617" t="s">
        <v>630</v>
      </c>
      <c r="C347" s="617">
        <v>99</v>
      </c>
      <c r="D347" s="617" t="s">
        <v>487</v>
      </c>
      <c r="F347" s="122"/>
      <c r="H347" s="617">
        <f>IF(ISNUMBER(SEARCH(HOME_Country,TablePays[[#This Row],[Country_Names]])),1,0)</f>
        <v>1</v>
      </c>
      <c r="I347" s="32" t="str">
        <f>IF(J347&lt;&gt;"",INDEX(TablePays[Country_Names],J347),"")</f>
        <v>Slovenia</v>
      </c>
      <c r="J347" s="32">
        <f t="array" ref="J347">IFERROR(MATCH(0,COUNTIF($I$184:I346,TablePays[Country_Names])+IF($H$185:$H$390=0,1,0),0),"")</f>
        <v>163</v>
      </c>
    </row>
    <row r="348" spans="2:10" x14ac:dyDescent="0.2">
      <c r="B348" s="617" t="s">
        <v>688</v>
      </c>
      <c r="C348" s="617">
        <v>99</v>
      </c>
      <c r="D348" s="617" t="s">
        <v>644</v>
      </c>
      <c r="F348" s="122"/>
      <c r="H348" s="617">
        <f>IF(ISNUMBER(SEARCH(HOME_Country,TablePays[[#This Row],[Country_Names]])),1,0)</f>
        <v>1</v>
      </c>
      <c r="I348" s="32" t="str">
        <f>IF(J348&lt;&gt;"",INDEX(TablePays[Country_Names],J348),"")</f>
        <v>Solomon Islands</v>
      </c>
      <c r="J348" s="32">
        <f t="array" ref="J348">IFERROR(MATCH(0,COUNTIF($I$184:I347,TablePays[Country_Names])+IF($H$185:$H$390=0,1,0),0),"")</f>
        <v>164</v>
      </c>
    </row>
    <row r="349" spans="2:10" x14ac:dyDescent="0.2">
      <c r="B349" s="617" t="s">
        <v>573</v>
      </c>
      <c r="C349" s="617">
        <v>99</v>
      </c>
      <c r="D349" s="617" t="s">
        <v>540</v>
      </c>
      <c r="F349" s="122"/>
      <c r="H349" s="617">
        <f>IF(ISNUMBER(SEARCH(HOME_Country,TablePays[[#This Row],[Country_Names]])),1,0)</f>
        <v>1</v>
      </c>
      <c r="I349" s="32" t="str">
        <f>IF(J349&lt;&gt;"",INDEX(TablePays[Country_Names],J349),"")</f>
        <v>Somalia</v>
      </c>
      <c r="J349" s="32">
        <f t="array" ref="J349">IFERROR(MATCH(0,COUNTIF($I$184:I348,TablePays[Country_Names])+IF($H$185:$H$390=0,1,0),0),"")</f>
        <v>165</v>
      </c>
    </row>
    <row r="350" spans="2:10" x14ac:dyDescent="0.2">
      <c r="B350" s="617" t="s">
        <v>536</v>
      </c>
      <c r="C350" s="617">
        <v>21</v>
      </c>
      <c r="D350" s="617" t="s">
        <v>540</v>
      </c>
      <c r="E350" s="32">
        <v>1</v>
      </c>
      <c r="F350" s="122" t="s">
        <v>748</v>
      </c>
      <c r="H350" s="617">
        <f>IF(ISNUMBER(SEARCH(HOME_Country,TablePays[[#This Row],[Country_Names]])),1,0)</f>
        <v>1</v>
      </c>
      <c r="I350" s="32" t="str">
        <f>IF(J350&lt;&gt;"",INDEX(TablePays[Country_Names],J350),"")</f>
        <v>South Africa</v>
      </c>
      <c r="J350" s="32">
        <f t="array" ref="J350">IFERROR(MATCH(0,COUNTIF($I$184:I349,TablePays[Country_Names])+IF($H$185:$H$390=0,1,0),0),"")</f>
        <v>166</v>
      </c>
    </row>
    <row r="351" spans="2:10" x14ac:dyDescent="0.2">
      <c r="B351" s="122" t="s">
        <v>459</v>
      </c>
      <c r="C351" s="122">
        <v>12</v>
      </c>
      <c r="D351" s="617" t="s">
        <v>582</v>
      </c>
      <c r="E351" s="32">
        <v>1</v>
      </c>
      <c r="F351" s="122" t="s">
        <v>749</v>
      </c>
      <c r="H351" s="617">
        <f>IF(ISNUMBER(SEARCH(HOME_Country,TablePays[[#This Row],[Country_Names]])),1,0)</f>
        <v>1</v>
      </c>
      <c r="I351" s="32" t="str">
        <f>IF(J351&lt;&gt;"",INDEX(TablePays[Country_Names],J351),"")</f>
        <v>South Korea</v>
      </c>
      <c r="J351" s="32">
        <f t="array" ref="J351">IFERROR(MATCH(0,COUNTIF($I$184:I350,TablePays[Country_Names])+IF($H$185:$H$390=0,1,0),0),"")</f>
        <v>167</v>
      </c>
    </row>
    <row r="352" spans="2:10" x14ac:dyDescent="0.2">
      <c r="B352" s="617" t="s">
        <v>667</v>
      </c>
      <c r="C352" s="617">
        <v>99</v>
      </c>
      <c r="D352" s="617" t="s">
        <v>540</v>
      </c>
      <c r="F352" s="122"/>
      <c r="H352" s="617">
        <f>IF(ISNUMBER(SEARCH(HOME_Country,TablePays[[#This Row],[Country_Names]])),1,0)</f>
        <v>1</v>
      </c>
      <c r="I352" s="32" t="str">
        <f>IF(J352&lt;&gt;"",INDEX(TablePays[Country_Names],J352),"")</f>
        <v>South Sudan</v>
      </c>
      <c r="J352" s="32">
        <f t="array" ref="J352">IFERROR(MATCH(0,COUNTIF($I$184:I351,TablePays[Country_Names])+IF($H$185:$H$390=0,1,0),0),"")</f>
        <v>168</v>
      </c>
    </row>
    <row r="353" spans="2:10" x14ac:dyDescent="0.2">
      <c r="B353" s="122" t="s">
        <v>447</v>
      </c>
      <c r="C353" s="122">
        <f>8-2</f>
        <v>6</v>
      </c>
      <c r="D353" s="617" t="s">
        <v>487</v>
      </c>
      <c r="E353" s="32">
        <v>1</v>
      </c>
      <c r="F353" s="122" t="s">
        <v>756</v>
      </c>
      <c r="H353" s="617">
        <f>IF(ISNUMBER(SEARCH(HOME_Country,TablePays[[#This Row],[Country_Names]])),1,0)</f>
        <v>1</v>
      </c>
      <c r="I353" s="32" t="str">
        <f>IF(J353&lt;&gt;"",INDEX(TablePays[Country_Names],J353),"")</f>
        <v>Spain</v>
      </c>
      <c r="J353" s="32">
        <f t="array" ref="J353">IFERROR(MATCH(0,COUNTIF($I$184:I352,TablePays[Country_Names])+IF($H$185:$H$390=0,1,0),0),"")</f>
        <v>169</v>
      </c>
    </row>
    <row r="354" spans="2:10" x14ac:dyDescent="0.2">
      <c r="B354" s="617" t="s">
        <v>672</v>
      </c>
      <c r="C354" s="617">
        <v>99</v>
      </c>
      <c r="D354" s="617" t="s">
        <v>582</v>
      </c>
      <c r="F354" s="122"/>
      <c r="H354" s="617">
        <f>IF(ISNUMBER(SEARCH(HOME_Country,TablePays[[#This Row],[Country_Names]])),1,0)</f>
        <v>1</v>
      </c>
      <c r="I354" s="32" t="str">
        <f>IF(J354&lt;&gt;"",INDEX(TablePays[Country_Names],J354),"")</f>
        <v>Sri Lanka</v>
      </c>
      <c r="J354" s="32">
        <f t="array" ref="J354">IFERROR(MATCH(0,COUNTIF($I$184:I353,TablePays[Country_Names])+IF($H$185:$H$390=0,1,0),0),"")</f>
        <v>170</v>
      </c>
    </row>
    <row r="355" spans="2:10" x14ac:dyDescent="0.2">
      <c r="B355" s="617" t="s">
        <v>574</v>
      </c>
      <c r="C355" s="617">
        <v>99</v>
      </c>
      <c r="D355" s="617" t="s">
        <v>540</v>
      </c>
      <c r="F355" s="122"/>
      <c r="H355" s="617">
        <f>IF(ISNUMBER(SEARCH(HOME_Country,TablePays[[#This Row],[Country_Names]])),1,0)</f>
        <v>1</v>
      </c>
      <c r="I355" s="32" t="str">
        <f>IF(J355&lt;&gt;"",INDEX(TablePays[Country_Names],J355),"")</f>
        <v>Sudan</v>
      </c>
      <c r="J355" s="32">
        <f t="array" ref="J355">IFERROR(MATCH(0,COUNTIF($I$184:I354,TablePays[Country_Names])+IF($H$185:$H$390=0,1,0),0),"")</f>
        <v>171</v>
      </c>
    </row>
    <row r="356" spans="2:10" x14ac:dyDescent="0.2">
      <c r="B356" s="617" t="s">
        <v>658</v>
      </c>
      <c r="C356" s="617">
        <v>99</v>
      </c>
      <c r="D356" s="617" t="s">
        <v>689</v>
      </c>
      <c r="F356" s="122"/>
      <c r="H356" s="617">
        <f>IF(ISNUMBER(SEARCH(HOME_Country,TablePays[[#This Row],[Country_Names]])),1,0)</f>
        <v>1</v>
      </c>
      <c r="I356" s="32" t="str">
        <f>IF(J356&lt;&gt;"",INDEX(TablePays[Country_Names],J356),"")</f>
        <v>Suriname</v>
      </c>
      <c r="J356" s="32">
        <f t="array" ref="J356">IFERROR(MATCH(0,COUNTIF($I$184:I355,TablePays[Country_Names])+IF($H$185:$H$390=0,1,0),0),"")</f>
        <v>172</v>
      </c>
    </row>
    <row r="357" spans="2:10" x14ac:dyDescent="0.2">
      <c r="B357" s="617" t="s">
        <v>575</v>
      </c>
      <c r="C357" s="617">
        <v>99</v>
      </c>
      <c r="D357" s="617" t="s">
        <v>540</v>
      </c>
      <c r="F357" s="122"/>
      <c r="H357" s="617">
        <f>IF(ISNUMBER(SEARCH(HOME_Country,TablePays[[#This Row],[Country_Names]])),1,0)</f>
        <v>1</v>
      </c>
      <c r="I357" s="32" t="str">
        <f>IF(J357&lt;&gt;"",INDEX(TablePays[Country_Names],J357),"")</f>
        <v>Swaziland</v>
      </c>
      <c r="J357" s="32">
        <f t="array" ref="J357">IFERROR(MATCH(0,COUNTIF($I$184:I356,TablePays[Country_Names])+IF($H$185:$H$390=0,1,0),0),"")</f>
        <v>173</v>
      </c>
    </row>
    <row r="358" spans="2:10" x14ac:dyDescent="0.2">
      <c r="B358" s="122" t="s">
        <v>451</v>
      </c>
      <c r="C358" s="122">
        <f>9-3</f>
        <v>6</v>
      </c>
      <c r="D358" s="617" t="s">
        <v>487</v>
      </c>
      <c r="E358" s="32">
        <v>1</v>
      </c>
      <c r="F358" s="122" t="s">
        <v>757</v>
      </c>
      <c r="H358" s="617">
        <f>IF(ISNUMBER(SEARCH(HOME_Country,TablePays[[#This Row],[Country_Names]])),1,0)</f>
        <v>1</v>
      </c>
      <c r="I358" s="32" t="str">
        <f>IF(J358&lt;&gt;"",INDEX(TablePays[Country_Names],J358),"")</f>
        <v>Sweden</v>
      </c>
      <c r="J358" s="32">
        <f t="array" ref="J358">IFERROR(MATCH(0,COUNTIF($I$184:I357,TablePays[Country_Names])+IF($H$185:$H$390=0,1,0),0),"")</f>
        <v>174</v>
      </c>
    </row>
    <row r="359" spans="2:10" x14ac:dyDescent="0.2">
      <c r="B359" s="122" t="s">
        <v>435</v>
      </c>
      <c r="C359" s="122">
        <v>6</v>
      </c>
      <c r="D359" s="617" t="s">
        <v>487</v>
      </c>
      <c r="E359" s="32">
        <v>1</v>
      </c>
      <c r="F359" s="122" t="s">
        <v>754</v>
      </c>
      <c r="H359" s="617">
        <f>IF(ISNUMBER(SEARCH(HOME_Country,TablePays[[#This Row],[Country_Names]])),1,0)</f>
        <v>1</v>
      </c>
      <c r="I359" s="32" t="str">
        <f>IF(J359&lt;&gt;"",INDEX(TablePays[Country_Names],J359),"")</f>
        <v>Switzerland</v>
      </c>
      <c r="J359" s="32">
        <f t="array" ref="J359">IFERROR(MATCH(0,COUNTIF($I$184:I358,TablePays[Country_Names])+IF($H$185:$H$390=0,1,0),0),"")</f>
        <v>175</v>
      </c>
    </row>
    <row r="360" spans="2:10" x14ac:dyDescent="0.2">
      <c r="B360" s="617" t="s">
        <v>605</v>
      </c>
      <c r="C360" s="617">
        <v>99</v>
      </c>
      <c r="D360" s="617" t="s">
        <v>582</v>
      </c>
      <c r="F360" s="122"/>
      <c r="H360" s="617">
        <f>IF(ISNUMBER(SEARCH(HOME_Country,TablePays[[#This Row],[Country_Names]])),1,0)</f>
        <v>1</v>
      </c>
      <c r="I360" s="32" t="str">
        <f>IF(J360&lt;&gt;"",INDEX(TablePays[Country_Names],J360),"")</f>
        <v>Syria</v>
      </c>
      <c r="J360" s="32">
        <f t="array" ref="J360">IFERROR(MATCH(0,COUNTIF($I$184:I359,TablePays[Country_Names])+IF($H$185:$H$390=0,1,0),0),"")</f>
        <v>176</v>
      </c>
    </row>
    <row r="361" spans="2:10" x14ac:dyDescent="0.2">
      <c r="B361" s="122" t="s">
        <v>460</v>
      </c>
      <c r="C361" s="122">
        <v>12</v>
      </c>
      <c r="D361" s="617" t="s">
        <v>582</v>
      </c>
      <c r="E361" s="32">
        <v>1</v>
      </c>
      <c r="F361" s="122" t="s">
        <v>749</v>
      </c>
      <c r="H361" s="617">
        <f>IF(ISNUMBER(SEARCH(HOME_Country,TablePays[[#This Row],[Country_Names]])),1,0)</f>
        <v>1</v>
      </c>
      <c r="I361" s="32" t="str">
        <f>IF(J361&lt;&gt;"",INDEX(TablePays[Country_Names],J361),"")</f>
        <v>Taiwan</v>
      </c>
      <c r="J361" s="32">
        <f t="array" ref="J361">IFERROR(MATCH(0,COUNTIF($I$184:I360,TablePays[Country_Names])+IF($H$185:$H$390=0,1,0),0),"")</f>
        <v>177</v>
      </c>
    </row>
    <row r="362" spans="2:10" x14ac:dyDescent="0.2">
      <c r="B362" s="617" t="s">
        <v>606</v>
      </c>
      <c r="C362" s="617">
        <v>99</v>
      </c>
      <c r="D362" s="617" t="s">
        <v>582</v>
      </c>
      <c r="F362" s="122"/>
      <c r="H362" s="617">
        <f>IF(ISNUMBER(SEARCH(HOME_Country,TablePays[[#This Row],[Country_Names]])),1,0)</f>
        <v>1</v>
      </c>
      <c r="I362" s="32" t="str">
        <f>IF(J362&lt;&gt;"",INDEX(TablePays[Country_Names],J362),"")</f>
        <v>Tajikistan</v>
      </c>
      <c r="J362" s="32">
        <f t="array" ref="J362">IFERROR(MATCH(0,COUNTIF($I$184:I361,TablePays[Country_Names])+IF($H$185:$H$390=0,1,0),0),"")</f>
        <v>178</v>
      </c>
    </row>
    <row r="363" spans="2:10" x14ac:dyDescent="0.2">
      <c r="B363" s="617" t="s">
        <v>576</v>
      </c>
      <c r="C363" s="617">
        <v>99</v>
      </c>
      <c r="D363" s="617" t="s">
        <v>540</v>
      </c>
      <c r="F363" s="122"/>
      <c r="H363" s="617">
        <f>IF(ISNUMBER(SEARCH(HOME_Country,TablePays[[#This Row],[Country_Names]])),1,0)</f>
        <v>1</v>
      </c>
      <c r="I363" s="32" t="str">
        <f>IF(J363&lt;&gt;"",INDEX(TablePays[Country_Names],J363),"")</f>
        <v>Tanzania</v>
      </c>
      <c r="J363" s="32">
        <f t="array" ref="J363">IFERROR(MATCH(0,COUNTIF($I$184:I362,TablePays[Country_Names])+IF($H$185:$H$390=0,1,0),0),"")</f>
        <v>179</v>
      </c>
    </row>
    <row r="364" spans="2:10" x14ac:dyDescent="0.2">
      <c r="B364" s="122" t="s">
        <v>457</v>
      </c>
      <c r="C364" s="122">
        <v>12</v>
      </c>
      <c r="D364" s="617" t="s">
        <v>582</v>
      </c>
      <c r="E364" s="32">
        <v>1</v>
      </c>
      <c r="F364" s="122" t="s">
        <v>751</v>
      </c>
      <c r="H364" s="617">
        <f>IF(ISNUMBER(SEARCH(HOME_Country,TablePays[[#This Row],[Country_Names]])),1,0)</f>
        <v>1</v>
      </c>
      <c r="I364" s="32" t="str">
        <f>IF(J364&lt;&gt;"",INDEX(TablePays[Country_Names],J364),"")</f>
        <v>Thailand</v>
      </c>
      <c r="J364" s="32">
        <f t="array" ref="J364">IFERROR(MATCH(0,COUNTIF($I$184:I363,TablePays[Country_Names])+IF($H$185:$H$390=0,1,0),0),"")</f>
        <v>180</v>
      </c>
    </row>
    <row r="365" spans="2:10" x14ac:dyDescent="0.2">
      <c r="B365" s="617" t="s">
        <v>577</v>
      </c>
      <c r="C365" s="617">
        <v>99</v>
      </c>
      <c r="D365" s="617" t="s">
        <v>540</v>
      </c>
      <c r="F365" s="122"/>
      <c r="H365" s="617">
        <f>IF(ISNUMBER(SEARCH(HOME_Country,TablePays[[#This Row],[Country_Names]])),1,0)</f>
        <v>1</v>
      </c>
      <c r="I365" s="32" t="str">
        <f>IF(J365&lt;&gt;"",INDEX(TablePays[Country_Names],J365),"")</f>
        <v>Togo</v>
      </c>
      <c r="J365" s="32">
        <f t="array" ref="J365">IFERROR(MATCH(0,COUNTIF($I$184:I364,TablePays[Country_Names])+IF($H$185:$H$390=0,1,0),0),"")</f>
        <v>181</v>
      </c>
    </row>
    <row r="366" spans="2:10" x14ac:dyDescent="0.2">
      <c r="B366" s="617" t="s">
        <v>651</v>
      </c>
      <c r="C366" s="617">
        <v>99</v>
      </c>
      <c r="D366" s="617" t="s">
        <v>644</v>
      </c>
      <c r="F366" s="122"/>
      <c r="H366" s="617">
        <f>IF(ISNUMBER(SEARCH(HOME_Country,TablePays[[#This Row],[Country_Names]])),1,0)</f>
        <v>1</v>
      </c>
      <c r="I366" s="32" t="str">
        <f>IF(J366&lt;&gt;"",INDEX(TablePays[Country_Names],J366),"")</f>
        <v>Tonga</v>
      </c>
      <c r="J366" s="32">
        <f t="array" ref="J366">IFERROR(MATCH(0,COUNTIF($I$184:I365,TablePays[Country_Names])+IF($H$185:$H$390=0,1,0),0),"")</f>
        <v>182</v>
      </c>
    </row>
    <row r="367" spans="2:10" x14ac:dyDescent="0.2">
      <c r="B367" s="617" t="s">
        <v>685</v>
      </c>
      <c r="C367" s="617">
        <v>99</v>
      </c>
      <c r="D367" s="617" t="s">
        <v>678</v>
      </c>
      <c r="F367" s="122"/>
      <c r="H367" s="617">
        <f>IF(ISNUMBER(SEARCH(HOME_Country,TablePays[[#This Row],[Country_Names]])),1,0)</f>
        <v>1</v>
      </c>
      <c r="I367" s="32" t="str">
        <f>IF(J367&lt;&gt;"",INDEX(TablePays[Country_Names],J367),"")</f>
        <v>Trinidad and Tobago</v>
      </c>
      <c r="J367" s="32">
        <f t="array" ref="J367">IFERROR(MATCH(0,COUNTIF($I$184:I366,TablePays[Country_Names])+IF($H$185:$H$390=0,1,0),0),"")</f>
        <v>183</v>
      </c>
    </row>
    <row r="368" spans="2:10" x14ac:dyDescent="0.2">
      <c r="B368" s="617" t="s">
        <v>578</v>
      </c>
      <c r="C368" s="617">
        <v>99</v>
      </c>
      <c r="D368" s="617" t="s">
        <v>540</v>
      </c>
      <c r="F368" s="122"/>
      <c r="H368" s="617">
        <f>IF(ISNUMBER(SEARCH(HOME_Country,TablePays[[#This Row],[Country_Names]])),1,0)</f>
        <v>1</v>
      </c>
      <c r="I368" s="32" t="str">
        <f>IF(J368&lt;&gt;"",INDEX(TablePays[Country_Names],J368),"")</f>
        <v>Tunisia</v>
      </c>
      <c r="J368" s="32">
        <f t="array" ref="J368">IFERROR(MATCH(0,COUNTIF($I$184:I367,TablePays[Country_Names])+IF($H$185:$H$390=0,1,0),0),"")</f>
        <v>184</v>
      </c>
    </row>
    <row r="369" spans="2:10" x14ac:dyDescent="0.2">
      <c r="B369" s="122" t="s">
        <v>294</v>
      </c>
      <c r="C369" s="122">
        <v>10</v>
      </c>
      <c r="D369" s="617" t="s">
        <v>582</v>
      </c>
      <c r="E369" s="32">
        <v>1</v>
      </c>
      <c r="F369" s="122" t="s">
        <v>752</v>
      </c>
      <c r="H369" s="617">
        <f>IF(ISNUMBER(SEARCH(HOME_Country,TablePays[[#This Row],[Country_Names]])),1,0)</f>
        <v>1</v>
      </c>
      <c r="I369" s="32" t="str">
        <f>IF(J369&lt;&gt;"",INDEX(TablePays[Country_Names],J369),"")</f>
        <v>Turkey</v>
      </c>
      <c r="J369" s="32">
        <f t="array" ref="J369">IFERROR(MATCH(0,COUNTIF($I$184:I368,TablePays[Country_Names])+IF($H$185:$H$390=0,1,0),0),"")</f>
        <v>185</v>
      </c>
    </row>
    <row r="370" spans="2:10" x14ac:dyDescent="0.2">
      <c r="B370" s="617" t="s">
        <v>607</v>
      </c>
      <c r="C370" s="617">
        <v>99</v>
      </c>
      <c r="D370" s="617" t="s">
        <v>582</v>
      </c>
      <c r="F370" s="122"/>
      <c r="H370" s="617">
        <f>IF(ISNUMBER(SEARCH(HOME_Country,TablePays[[#This Row],[Country_Names]])),1,0)</f>
        <v>1</v>
      </c>
      <c r="I370" s="32" t="str">
        <f>IF(J370&lt;&gt;"",INDEX(TablePays[Country_Names],J370),"")</f>
        <v>Turkmenistan</v>
      </c>
      <c r="J370" s="32">
        <f t="array" ref="J370">IFERROR(MATCH(0,COUNTIF($I$184:I369,TablePays[Country_Names])+IF($H$185:$H$390=0,1,0),0),"")</f>
        <v>186</v>
      </c>
    </row>
    <row r="371" spans="2:10" x14ac:dyDescent="0.2">
      <c r="B371" s="617" t="s">
        <v>652</v>
      </c>
      <c r="C371" s="617">
        <v>99</v>
      </c>
      <c r="D371" s="617" t="s">
        <v>644</v>
      </c>
      <c r="F371" s="122"/>
      <c r="H371" s="617">
        <f>IF(ISNUMBER(SEARCH(HOME_Country,TablePays[[#This Row],[Country_Names]])),1,0)</f>
        <v>1</v>
      </c>
      <c r="I371" s="32" t="str">
        <f>IF(J371&lt;&gt;"",INDEX(TablePays[Country_Names],J371),"")</f>
        <v>Tuvalu</v>
      </c>
      <c r="J371" s="32">
        <f t="array" ref="J371">IFERROR(MATCH(0,COUNTIF($I$184:I370,TablePays[Country_Names])+IF($H$185:$H$390=0,1,0),0),"")</f>
        <v>187</v>
      </c>
    </row>
    <row r="372" spans="2:10" x14ac:dyDescent="0.2">
      <c r="B372" s="617" t="s">
        <v>579</v>
      </c>
      <c r="C372" s="617">
        <v>99</v>
      </c>
      <c r="D372" s="617" t="s">
        <v>540</v>
      </c>
      <c r="F372" s="122"/>
      <c r="H372" s="617">
        <f>IF(ISNUMBER(SEARCH(HOME_Country,TablePays[[#This Row],[Country_Names]])),1,0)</f>
        <v>1</v>
      </c>
      <c r="I372" s="32" t="str">
        <f>IF(J372&lt;&gt;"",INDEX(TablePays[Country_Names],J372),"")</f>
        <v>Uganda</v>
      </c>
      <c r="J372" s="32">
        <f t="array" ref="J372">IFERROR(MATCH(0,COUNTIF($I$184:I371,TablePays[Country_Names])+IF($H$185:$H$390=0,1,0),0),"")</f>
        <v>188</v>
      </c>
    </row>
    <row r="373" spans="2:10" x14ac:dyDescent="0.2">
      <c r="B373" s="122" t="s">
        <v>443</v>
      </c>
      <c r="C373" s="122">
        <f>7-1</f>
        <v>6</v>
      </c>
      <c r="D373" s="617" t="s">
        <v>487</v>
      </c>
      <c r="E373" s="32">
        <v>1</v>
      </c>
      <c r="F373" s="122" t="s">
        <v>755</v>
      </c>
      <c r="H373" s="617">
        <f>IF(ISNUMBER(SEARCH(HOME_Country,TablePays[[#This Row],[Country_Names]])),1,0)</f>
        <v>1</v>
      </c>
      <c r="I373" s="32" t="str">
        <f>IF(J373&lt;&gt;"",INDEX(TablePays[Country_Names],J373),"")</f>
        <v>UK</v>
      </c>
      <c r="J373" s="32">
        <f t="array" ref="J373">IFERROR(MATCH(0,COUNTIF($I$184:I372,TablePays[Country_Names])+IF($H$185:$H$390=0,1,0),0),"")</f>
        <v>189</v>
      </c>
    </row>
    <row r="374" spans="2:10" x14ac:dyDescent="0.2">
      <c r="B374" s="617" t="s">
        <v>631</v>
      </c>
      <c r="C374" s="617">
        <v>99</v>
      </c>
      <c r="D374" s="617" t="s">
        <v>487</v>
      </c>
      <c r="F374" s="122"/>
      <c r="H374" s="617">
        <f>IF(ISNUMBER(SEARCH(HOME_Country,TablePays[[#This Row],[Country_Names]])),1,0)</f>
        <v>1</v>
      </c>
      <c r="I374" s="32" t="str">
        <f>IF(J374&lt;&gt;"",INDEX(TablePays[Country_Names],J374),"")</f>
        <v>Ukraine</v>
      </c>
      <c r="J374" s="32">
        <f t="array" ref="J374">IFERROR(MATCH(0,COUNTIF($I$184:I373,TablePays[Country_Names])+IF($H$185:$H$390=0,1,0),0),"")</f>
        <v>190</v>
      </c>
    </row>
    <row r="375" spans="2:10" x14ac:dyDescent="0.2">
      <c r="B375" s="617" t="s">
        <v>673</v>
      </c>
      <c r="C375" s="617">
        <v>99</v>
      </c>
      <c r="D375" s="617" t="s">
        <v>582</v>
      </c>
      <c r="F375" s="122"/>
      <c r="H375" s="617">
        <f>IF(ISNUMBER(SEARCH(HOME_Country,TablePays[[#This Row],[Country_Names]])),1,0)</f>
        <v>1</v>
      </c>
      <c r="I375" s="32" t="str">
        <f>IF(J375&lt;&gt;"",INDEX(TablePays[Country_Names],J375),"")</f>
        <v>United Arab Emirates</v>
      </c>
      <c r="J375" s="32">
        <f t="array" ref="J375">IFERROR(MATCH(0,COUNTIF($I$184:I374,TablePays[Country_Names])+IF($H$185:$H$390=0,1,0),0),"")</f>
        <v>191</v>
      </c>
    </row>
    <row r="376" spans="2:10" x14ac:dyDescent="0.2">
      <c r="B376" s="617" t="s">
        <v>676</v>
      </c>
      <c r="C376" s="617">
        <v>99</v>
      </c>
      <c r="D376" s="617" t="s">
        <v>487</v>
      </c>
      <c r="F376" s="122"/>
      <c r="H376" s="617">
        <f>IF(ISNUMBER(SEARCH(HOME_Country,TablePays[[#This Row],[Country_Names]])),1,0)</f>
        <v>1</v>
      </c>
      <c r="I376" s="32" t="str">
        <f>IF(J376&lt;&gt;"",INDEX(TablePays[Country_Names],J376),"")</f>
        <v>United Kingdom</v>
      </c>
      <c r="J376" s="32">
        <f t="array" ref="J376">IFERROR(MATCH(0,COUNTIF($I$184:I375,TablePays[Country_Names])+IF($H$185:$H$390=0,1,0),0),"")</f>
        <v>192</v>
      </c>
    </row>
    <row r="377" spans="2:10" x14ac:dyDescent="0.2">
      <c r="B377" s="617" t="s">
        <v>735</v>
      </c>
      <c r="C377" s="122">
        <v>2</v>
      </c>
      <c r="D377" s="617" t="s">
        <v>742</v>
      </c>
      <c r="F377" s="122"/>
      <c r="H377" s="617">
        <f>IF(ISNUMBER(SEARCH(HOME_Country,TablePays[[#This Row],[Country_Names]])),1,0)</f>
        <v>1</v>
      </c>
      <c r="I377" s="32" t="str">
        <f>IF(J377&lt;&gt;"",INDEX(TablePays[Country_Names],J377),"")</f>
        <v>United States</v>
      </c>
      <c r="J377" s="32">
        <f t="array" ref="J377">IFERROR(MATCH(0,COUNTIF($I$184:I376,TablePays[Country_Names])+IF($H$185:$H$390=0,1,0),0),"")</f>
        <v>193</v>
      </c>
    </row>
    <row r="378" spans="2:10" x14ac:dyDescent="0.2">
      <c r="B378" s="617" t="s">
        <v>659</v>
      </c>
      <c r="C378" s="617">
        <v>99</v>
      </c>
      <c r="D378" s="617" t="s">
        <v>689</v>
      </c>
      <c r="F378" s="122"/>
      <c r="H378" s="617">
        <f>IF(ISNUMBER(SEARCH(HOME_Country,TablePays[[#This Row],[Country_Names]])),1,0)</f>
        <v>1</v>
      </c>
      <c r="I378" s="32" t="str">
        <f>IF(J378&lt;&gt;"",INDEX(TablePays[Country_Names],J378),"")</f>
        <v>Uruguay</v>
      </c>
      <c r="J378" s="32">
        <f t="array" ref="J378">IFERROR(MATCH(0,COUNTIF($I$184:I377,TablePays[Country_Names])+IF($H$185:$H$390=0,1,0),0),"")</f>
        <v>194</v>
      </c>
    </row>
    <row r="379" spans="2:10" x14ac:dyDescent="0.2">
      <c r="B379" s="122" t="s">
        <v>137</v>
      </c>
      <c r="C379" s="122">
        <v>2</v>
      </c>
      <c r="D379" s="617" t="s">
        <v>742</v>
      </c>
      <c r="E379" s="32">
        <v>1</v>
      </c>
      <c r="F379" s="122" t="s">
        <v>137</v>
      </c>
      <c r="H379" s="617">
        <f>IF(ISNUMBER(SEARCH(HOME_Country,TablePays[[#This Row],[Country_Names]])),1,0)</f>
        <v>1</v>
      </c>
      <c r="I379" s="32" t="str">
        <f>IF(J379&lt;&gt;"",INDEX(TablePays[Country_Names],J379),"")</f>
        <v>USA</v>
      </c>
      <c r="J379" s="32">
        <f t="array" ref="J379">IFERROR(MATCH(0,COUNTIF($I$184:I378,TablePays[Country_Names])+IF($H$185:$H$390=0,1,0),0),"")</f>
        <v>195</v>
      </c>
    </row>
    <row r="380" spans="2:10" x14ac:dyDescent="0.2">
      <c r="B380" s="617" t="s">
        <v>723</v>
      </c>
      <c r="C380" s="617">
        <v>3</v>
      </c>
      <c r="D380" s="617" t="s">
        <v>742</v>
      </c>
      <c r="E380" s="32">
        <v>1</v>
      </c>
      <c r="F380" s="122" t="s">
        <v>137</v>
      </c>
      <c r="H380" s="617">
        <f>IF(ISNUMBER(SEARCH(HOME_Country,TablePays[[#This Row],[Country_Names]])),1,0)</f>
        <v>1</v>
      </c>
      <c r="I380" s="32" t="str">
        <f>IF(J380&lt;&gt;"",INDEX(TablePays[Country_Names],J380),"")</f>
        <v>USA (Alaska)</v>
      </c>
      <c r="J380" s="32">
        <f t="array" ref="J380">IFERROR(MATCH(0,COUNTIF($I$184:I379,TablePays[Country_Names])+IF($H$185:$H$390=0,1,0),0),"")</f>
        <v>196</v>
      </c>
    </row>
    <row r="381" spans="2:10" x14ac:dyDescent="0.2">
      <c r="B381" s="617" t="s">
        <v>722</v>
      </c>
      <c r="C381" s="617">
        <v>3</v>
      </c>
      <c r="D381" s="617" t="s">
        <v>742</v>
      </c>
      <c r="E381" s="32">
        <v>1</v>
      </c>
      <c r="F381" s="122" t="s">
        <v>137</v>
      </c>
      <c r="H381" s="617">
        <f>IF(ISNUMBER(SEARCH(HOME_Country,TablePays[[#This Row],[Country_Names]])),1,0)</f>
        <v>1</v>
      </c>
      <c r="I381" s="32" t="str">
        <f>IF(J381&lt;&gt;"",INDEX(TablePays[Country_Names],J381),"")</f>
        <v>USA (Hawaii)</v>
      </c>
      <c r="J381" s="32">
        <f t="array" ref="J381">IFERROR(MATCH(0,COUNTIF($I$184:I380,TablePays[Country_Names])+IF($H$185:$H$390=0,1,0),0),"")</f>
        <v>197</v>
      </c>
    </row>
    <row r="382" spans="2:10" x14ac:dyDescent="0.2">
      <c r="B382" s="617" t="s">
        <v>608</v>
      </c>
      <c r="C382" s="617">
        <v>99</v>
      </c>
      <c r="D382" s="617" t="s">
        <v>582</v>
      </c>
      <c r="F382" s="122"/>
      <c r="H382" s="617">
        <f>IF(ISNUMBER(SEARCH(HOME_Country,TablePays[[#This Row],[Country_Names]])),1,0)</f>
        <v>1</v>
      </c>
      <c r="I382" s="32" t="str">
        <f>IF(J382&lt;&gt;"",INDEX(TablePays[Country_Names],J382),"")</f>
        <v>Uzbekistan</v>
      </c>
      <c r="J382" s="32">
        <f t="array" ref="J382">IFERROR(MATCH(0,COUNTIF($I$184:I381,TablePays[Country_Names])+IF($H$185:$H$390=0,1,0),0),"")</f>
        <v>198</v>
      </c>
    </row>
    <row r="383" spans="2:10" x14ac:dyDescent="0.2">
      <c r="B383" s="617" t="s">
        <v>653</v>
      </c>
      <c r="C383" s="617">
        <v>99</v>
      </c>
      <c r="D383" s="617" t="s">
        <v>644</v>
      </c>
      <c r="F383" s="122"/>
      <c r="H383" s="617">
        <f>IF(ISNUMBER(SEARCH(HOME_Country,TablePays[[#This Row],[Country_Names]])),1,0)</f>
        <v>1</v>
      </c>
      <c r="I383" s="32" t="str">
        <f>IF(J383&lt;&gt;"",INDEX(TablePays[Country_Names],J383),"")</f>
        <v>Vanuatu</v>
      </c>
      <c r="J383" s="32">
        <f t="array" ref="J383">IFERROR(MATCH(0,COUNTIF($I$184:I382,TablePays[Country_Names])+IF($H$185:$H$390=0,1,0),0),"")</f>
        <v>199</v>
      </c>
    </row>
    <row r="384" spans="2:10" x14ac:dyDescent="0.2">
      <c r="B384" s="617" t="s">
        <v>677</v>
      </c>
      <c r="C384" s="617">
        <v>99</v>
      </c>
      <c r="D384" s="617" t="s">
        <v>487</v>
      </c>
      <c r="F384" s="122"/>
      <c r="H384" s="617">
        <f>IF(ISNUMBER(SEARCH(HOME_Country,TablePays[[#This Row],[Country_Names]])),1,0)</f>
        <v>1</v>
      </c>
      <c r="I384" s="32" t="str">
        <f>IF(J384&lt;&gt;"",INDEX(TablePays[Country_Names],J384),"")</f>
        <v>Vatican City</v>
      </c>
      <c r="J384" s="32">
        <f t="array" ref="J384">IFERROR(MATCH(0,COUNTIF($I$184:I383,TablePays[Country_Names])+IF($H$185:$H$390=0,1,0),0),"")</f>
        <v>200</v>
      </c>
    </row>
    <row r="385" spans="2:17" x14ac:dyDescent="0.2">
      <c r="B385" s="617" t="s">
        <v>660</v>
      </c>
      <c r="C385" s="617">
        <v>99</v>
      </c>
      <c r="D385" s="617" t="s">
        <v>689</v>
      </c>
      <c r="F385" s="122"/>
      <c r="H385" s="617">
        <f>IF(ISNUMBER(SEARCH(HOME_Country,TablePays[[#This Row],[Country_Names]])),1,0)</f>
        <v>1</v>
      </c>
      <c r="I385" s="32" t="str">
        <f>IF(J385&lt;&gt;"",INDEX(TablePays[Country_Names],J385),"")</f>
        <v>Venezuela</v>
      </c>
      <c r="J385" s="32">
        <f t="array" ref="J385">IFERROR(MATCH(0,COUNTIF($I$184:I384,TablePays[Country_Names])+IF($H$185:$H$390=0,1,0),0),"")</f>
        <v>201</v>
      </c>
    </row>
    <row r="386" spans="2:17" x14ac:dyDescent="0.2">
      <c r="B386" s="617" t="s">
        <v>609</v>
      </c>
      <c r="C386" s="617">
        <v>99</v>
      </c>
      <c r="D386" s="617" t="s">
        <v>582</v>
      </c>
      <c r="F386" s="122"/>
      <c r="H386" s="617">
        <f>IF(ISNUMBER(SEARCH(HOME_Country,TablePays[[#This Row],[Country_Names]])),1,0)</f>
        <v>1</v>
      </c>
      <c r="I386" s="32" t="str">
        <f>IF(J386&lt;&gt;"",INDEX(TablePays[Country_Names],J386),"")</f>
        <v>Vietnam</v>
      </c>
      <c r="J386" s="32">
        <f t="array" ref="J386">IFERROR(MATCH(0,COUNTIF($I$184:I385,TablePays[Country_Names])+IF($H$185:$H$390=0,1,0),0),"")</f>
        <v>202</v>
      </c>
    </row>
    <row r="387" spans="2:17" x14ac:dyDescent="0.2">
      <c r="B387" s="617" t="s">
        <v>610</v>
      </c>
      <c r="C387" s="617">
        <v>99</v>
      </c>
      <c r="D387" s="617" t="s">
        <v>582</v>
      </c>
      <c r="F387" s="122"/>
      <c r="H387" s="617">
        <f>IF(ISNUMBER(SEARCH(HOME_Country,TablePays[[#This Row],[Country_Names]])),1,0)</f>
        <v>1</v>
      </c>
      <c r="I387" s="32" t="str">
        <f>IF(J387&lt;&gt;"",INDEX(TablePays[Country_Names],J387),"")</f>
        <v>Yemen</v>
      </c>
      <c r="J387" s="32">
        <f t="array" ref="J387">IFERROR(MATCH(0,COUNTIF($I$184:I386,TablePays[Country_Names])+IF($H$185:$H$390=0,1,0),0),"")</f>
        <v>203</v>
      </c>
    </row>
    <row r="388" spans="2:17" x14ac:dyDescent="0.2">
      <c r="B388" s="617" t="s">
        <v>580</v>
      </c>
      <c r="C388" s="617">
        <v>99</v>
      </c>
      <c r="D388" s="617" t="s">
        <v>540</v>
      </c>
      <c r="F388" s="617"/>
      <c r="H388" s="617">
        <f>IF(ISNUMBER(SEARCH(HOME_Country,TablePays[[#This Row],[Country_Names]])),1,0)</f>
        <v>1</v>
      </c>
      <c r="I388" s="32" t="str">
        <f>IF(J388&lt;&gt;"",INDEX(TablePays[Country_Names],J388),"")</f>
        <v>Zambia</v>
      </c>
      <c r="J388" s="32">
        <f t="array" ref="J388">IFERROR(MATCH(0,COUNTIF($I$184:I387,TablePays[Country_Names])+IF($H$185:$H$390=0,1,0),0),"")</f>
        <v>204</v>
      </c>
    </row>
    <row r="389" spans="2:17" x14ac:dyDescent="0.2">
      <c r="B389" s="617" t="s">
        <v>581</v>
      </c>
      <c r="C389" s="617">
        <v>99</v>
      </c>
      <c r="D389" s="617" t="s">
        <v>540</v>
      </c>
      <c r="F389" s="617"/>
      <c r="H389" s="617">
        <f>IF(ISNUMBER(SEARCH(HOME_Country,TablePays[[#This Row],[Country_Names]])),1,0)</f>
        <v>1</v>
      </c>
      <c r="I389" s="32" t="str">
        <f>IF(J389&lt;&gt;"",INDEX(TablePays[Country_Names],J389),"")</f>
        <v>Zimbabwe</v>
      </c>
      <c r="J389" s="32">
        <f t="array" ref="J389">IFERROR(MATCH(0,COUNTIF($I$184:I388,TablePays[Country_Names])+IF($H$185:$H$390=0,1,0),0),"")</f>
        <v>205</v>
      </c>
    </row>
    <row r="390" spans="2:17" x14ac:dyDescent="0.2">
      <c r="B390" s="617"/>
      <c r="C390" s="617"/>
      <c r="D390" s="617"/>
      <c r="F390" s="617"/>
      <c r="H390" s="617">
        <f>IF(ISNUMBER(SEARCH(HOME_Country,TablePays[[#This Row],[Country_Names]])),1,0)</f>
        <v>0</v>
      </c>
      <c r="I390" s="32" t="str">
        <f>IF(J390&lt;&gt;"",INDEX(TablePays[Country_Names],J390),"")</f>
        <v/>
      </c>
      <c r="J390" s="32" t="str">
        <f t="array" ref="J390">IFERROR(MATCH(0,COUNTIF($I$184:I389,TablePays[Country_Names])+IF($H$185:$H$390=0,1,0),0),"")</f>
        <v/>
      </c>
    </row>
    <row r="392" spans="2:17" x14ac:dyDescent="0.2">
      <c r="P392" s="32"/>
      <c r="Q392" s="32"/>
    </row>
    <row r="393" spans="2:17" ht="15.75" customHeight="1" x14ac:dyDescent="0.2">
      <c r="P393"/>
      <c r="Q393" s="32"/>
    </row>
    <row r="394" spans="2:17" ht="15.75" customHeight="1" x14ac:dyDescent="0.2">
      <c r="P394" s="32"/>
      <c r="Q394" s="32"/>
    </row>
    <row r="395" spans="2:17" ht="15.75" customHeight="1" x14ac:dyDescent="0.2">
      <c r="P395" s="32"/>
      <c r="Q395" s="32"/>
    </row>
    <row r="396" spans="2:17" x14ac:dyDescent="0.2">
      <c r="P396" s="32"/>
      <c r="Q396" s="32"/>
    </row>
    <row r="397" spans="2:17" x14ac:dyDescent="0.2">
      <c r="N397" s="32"/>
      <c r="O397" s="32"/>
      <c r="P397" s="32"/>
      <c r="Q397" s="32"/>
    </row>
  </sheetData>
  <sheetProtection algorithmName="SHA-512" hashValue="gzrbuggQQcT1HLE3yNQGxrf+FLhrv1U6OcYqshxHwSCThOha/cJ1u/aF/R6ia/5512eWkKZrdUxVcPjfeZZsow==" saltValue="sBiPRQuRaBxcv/I4wjUM1A==" spinCount="100000" sheet="1" objects="1" scenarios="1" selectLockedCells="1"/>
  <mergeCells count="15">
    <mergeCell ref="Q175:W175"/>
    <mergeCell ref="Q176:W176"/>
    <mergeCell ref="Q177:W177"/>
    <mergeCell ref="Q178:W178"/>
    <mergeCell ref="K173:L173"/>
    <mergeCell ref="J175:P175"/>
    <mergeCell ref="J176:P176"/>
    <mergeCell ref="J177:P177"/>
    <mergeCell ref="J178:P178"/>
    <mergeCell ref="C178:I178"/>
    <mergeCell ref="C176:I176"/>
    <mergeCell ref="C175:I175"/>
    <mergeCell ref="C174:I174"/>
    <mergeCell ref="C173:I173"/>
    <mergeCell ref="C177:I177"/>
  </mergeCells>
  <phoneticPr fontId="24" type="noConversion"/>
  <dataValidations disablePrompts="1" count="2">
    <dataValidation type="custom" allowBlank="1" showInputMessage="1" showErrorMessage="1" sqref="E24 H24" xr:uid="{AEC2079B-ECCB-4C41-9CE8-B9A42F668BE9}">
      <formula1>_xlfn.ISFORMULA(E24)</formula1>
    </dataValidation>
    <dataValidation sqref="H182" xr:uid="{244151ED-09BC-44FA-883D-8C7E6349BD6B}"/>
  </dataValidations>
  <pageMargins left="0.7" right="0.7" top="0.75" bottom="0.75" header="0.3" footer="0.3"/>
  <pageSetup orientation="portrait" horizontalDpi="1200" verticalDpi="1200" r:id="rId1"/>
  <drawing r:id="rId2"/>
  <legacyDrawing r:id="rId3"/>
  <tableParts count="7">
    <tablePart r:id="rId4"/>
    <tablePart r:id="rId5"/>
    <tablePart r:id="rId6"/>
    <tablePart r:id="rId7"/>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tint="0.34998626667073579"/>
  </sheetPr>
  <dimension ref="A1:AL66"/>
  <sheetViews>
    <sheetView showGridLines="0" zoomScale="140" zoomScaleNormal="140" workbookViewId="0"/>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 LISTE DE COLISAGE","PACKING LIST #")</f>
        <v>PACKING LIST #</v>
      </c>
      <c r="Q1" s="769" t="str">
        <f>IF(ISBLANK(Inv!$Q$1),"",Inv!$Q$1)</f>
        <v/>
      </c>
      <c r="R1" s="769"/>
      <c r="T1" s="51"/>
      <c r="U1" s="51"/>
      <c r="V1" s="51"/>
      <c r="W1" s="51"/>
      <c r="X1" s="51"/>
      <c r="Y1" s="51"/>
      <c r="Z1" s="51"/>
      <c r="AA1" s="51"/>
      <c r="AB1" s="51"/>
      <c r="AC1" s="51"/>
      <c r="AD1" s="51"/>
      <c r="AE1" s="51"/>
      <c r="AF1" s="51"/>
      <c r="AG1" s="53"/>
      <c r="AH1" s="51"/>
      <c r="AI1" s="86" t="str">
        <f>P1</f>
        <v>PACKING LIST #</v>
      </c>
      <c r="AJ1" s="769" t="str">
        <f>IF(ISBLANK(Inv!$AJ$1),"",Inv!$AJ$1)</f>
        <v/>
      </c>
      <c r="AK1" s="769"/>
    </row>
    <row r="2" spans="1:37" ht="12" customHeight="1" x14ac:dyDescent="0.2">
      <c r="M2" s="752" t="s">
        <v>18</v>
      </c>
      <c r="N2" s="752"/>
      <c r="O2" s="752"/>
      <c r="P2" s="752"/>
      <c r="Q2" s="745" t="str">
        <f>INV_Date</f>
        <v>February 10, 2025</v>
      </c>
      <c r="R2" s="745"/>
      <c r="T2" s="51"/>
      <c r="U2" s="51"/>
      <c r="V2" s="51"/>
      <c r="W2" s="51"/>
      <c r="X2" s="51"/>
      <c r="Y2" s="51"/>
      <c r="Z2" s="51"/>
      <c r="AA2" s="51"/>
      <c r="AB2" s="51"/>
      <c r="AC2" s="51"/>
      <c r="AD2" s="51"/>
      <c r="AE2" s="51"/>
      <c r="AF2" s="752" t="str">
        <f>M2</f>
        <v>Date</v>
      </c>
      <c r="AG2" s="752"/>
      <c r="AH2" s="752"/>
      <c r="AI2" s="752"/>
      <c r="AJ2" s="745" t="str">
        <f>Q2</f>
        <v>February 10, 2025</v>
      </c>
      <c r="AK2" s="745"/>
    </row>
    <row r="3" spans="1:37" ht="12" customHeight="1" x14ac:dyDescent="0.2">
      <c r="B3" s="58"/>
      <c r="C3" s="58"/>
      <c r="D3" s="58"/>
      <c r="J3" s="108"/>
      <c r="M3" s="752" t="s">
        <v>19</v>
      </c>
      <c r="N3" s="752"/>
      <c r="O3" s="752"/>
      <c r="P3" s="752"/>
      <c r="Q3" s="761" t="str">
        <f>IF(ISBLANK(Quote!P6),"",Quote!P6)</f>
        <v/>
      </c>
      <c r="R3" s="761"/>
      <c r="T3" s="51"/>
      <c r="U3" s="58"/>
      <c r="V3" s="58"/>
      <c r="W3" s="58"/>
      <c r="X3" s="51"/>
      <c r="Y3" s="51"/>
      <c r="Z3" s="51"/>
      <c r="AA3" s="51"/>
      <c r="AB3" s="51"/>
      <c r="AC3" s="108"/>
      <c r="AD3" s="51"/>
      <c r="AE3" s="51"/>
      <c r="AF3" s="752" t="str">
        <f>M3</f>
        <v>Client</v>
      </c>
      <c r="AG3" s="752"/>
      <c r="AH3" s="752"/>
      <c r="AI3" s="752"/>
      <c r="AJ3" s="761" t="str">
        <f>IF(ISBLANK(Q3),"",Q3)</f>
        <v/>
      </c>
      <c r="AK3" s="761"/>
    </row>
    <row r="4" spans="1:37" ht="12" customHeight="1" x14ac:dyDescent="0.2">
      <c r="B4" s="59"/>
      <c r="C4" s="59"/>
      <c r="D4" s="59"/>
      <c r="J4" s="108"/>
      <c r="M4" s="752"/>
      <c r="N4" s="752"/>
      <c r="O4" s="752"/>
      <c r="P4" s="752"/>
      <c r="Q4" s="752"/>
      <c r="R4" s="752"/>
      <c r="T4" s="51"/>
      <c r="U4" s="59"/>
      <c r="V4" s="59"/>
      <c r="W4" s="59"/>
      <c r="X4" s="51"/>
      <c r="Y4" s="51"/>
      <c r="Z4" s="51"/>
      <c r="AA4" s="51"/>
      <c r="AB4" s="51"/>
      <c r="AC4" s="108"/>
      <c r="AD4" s="51"/>
      <c r="AE4" s="51"/>
      <c r="AF4" s="752"/>
      <c r="AG4" s="752"/>
      <c r="AH4" s="752"/>
      <c r="AI4" s="752"/>
      <c r="AJ4" s="761"/>
      <c r="AK4" s="761"/>
    </row>
    <row r="5" spans="1:37" ht="12" customHeight="1" x14ac:dyDescent="0.2">
      <c r="B5" s="59"/>
      <c r="C5" s="59"/>
      <c r="D5" s="59"/>
      <c r="M5" s="752" t="str">
        <f>IF(Francais,"Devise","Currency")</f>
        <v>Currency</v>
      </c>
      <c r="N5" s="752"/>
      <c r="O5" s="752"/>
      <c r="P5" s="752"/>
      <c r="Q5" s="760" t="str">
        <f>IF(OR(IndexZone=3,IndexZone=8,IndexZone=10),"USD",IF(IndexZone=5,"Euros",IF(Francais,"Dollars Canadiens","Canadian Dollars")))</f>
        <v>Euros</v>
      </c>
      <c r="R5" s="760"/>
      <c r="T5" s="51"/>
      <c r="U5" s="59"/>
      <c r="V5" s="59"/>
      <c r="W5" s="59"/>
      <c r="X5" s="51"/>
      <c r="Y5" s="51"/>
      <c r="Z5" s="51"/>
      <c r="AA5" s="51"/>
      <c r="AB5" s="51"/>
      <c r="AD5" s="51"/>
      <c r="AE5" s="51"/>
      <c r="AF5" s="752" t="str">
        <f>M5</f>
        <v>Currency</v>
      </c>
      <c r="AG5" s="752"/>
      <c r="AH5" s="752"/>
      <c r="AI5" s="752"/>
      <c r="AJ5" s="770" t="str">
        <f>Q5</f>
        <v>Euros</v>
      </c>
      <c r="AK5" s="770"/>
    </row>
    <row r="6" spans="1:37" ht="12" customHeight="1" x14ac:dyDescent="0.2">
      <c r="M6" s="752" t="str">
        <f>IF(Francais,"Terme","Payment Terms")</f>
        <v>Payment Terms</v>
      </c>
      <c r="N6" s="752"/>
      <c r="O6" s="752"/>
      <c r="P6" s="752"/>
      <c r="Q6" s="760" t="str">
        <f>Quote!P5</f>
        <v>in ADVANCE</v>
      </c>
      <c r="R6" s="760"/>
      <c r="T6" s="51"/>
      <c r="U6" s="51"/>
      <c r="V6" s="51"/>
      <c r="W6" s="51"/>
      <c r="X6" s="51"/>
      <c r="Y6" s="51"/>
      <c r="Z6" s="51"/>
      <c r="AA6" s="51"/>
      <c r="AB6" s="51"/>
      <c r="AC6" s="51"/>
      <c r="AD6" s="51"/>
      <c r="AE6" s="51"/>
      <c r="AF6" s="752" t="str">
        <f>M6</f>
        <v>Payment Terms</v>
      </c>
      <c r="AG6" s="752"/>
      <c r="AH6" s="752"/>
      <c r="AI6" s="752"/>
      <c r="AJ6" s="770" t="str">
        <f>Q6</f>
        <v>in ADVANCE</v>
      </c>
      <c r="AK6" s="770"/>
    </row>
    <row r="7" spans="1:37" ht="12" customHeight="1" x14ac:dyDescent="0.2">
      <c r="B7" s="60"/>
      <c r="C7" s="60"/>
      <c r="D7" s="60"/>
      <c r="M7" s="752" t="str">
        <f>IF(Francais,"# PO","PO #")</f>
        <v>PO #</v>
      </c>
      <c r="N7" s="752"/>
      <c r="O7" s="752"/>
      <c r="P7" s="752"/>
      <c r="Q7" s="761" t="str">
        <f>IF(ISBLANK(Inv!Q7),"",Inv!Q7)</f>
        <v/>
      </c>
      <c r="R7" s="761"/>
      <c r="T7" s="51"/>
      <c r="U7" s="60"/>
      <c r="V7" s="60"/>
      <c r="W7" s="60"/>
      <c r="X7" s="51"/>
      <c r="Y7" s="51"/>
      <c r="Z7" s="51"/>
      <c r="AA7" s="51"/>
      <c r="AB7" s="51"/>
      <c r="AC7" s="51"/>
      <c r="AD7" s="51"/>
      <c r="AE7" s="51"/>
      <c r="AF7" s="752" t="str">
        <f>IF(Francais,"# PO","PO #")</f>
        <v>PO #</v>
      </c>
      <c r="AG7" s="752"/>
      <c r="AH7" s="752"/>
      <c r="AI7" s="752"/>
      <c r="AJ7" s="761" t="str">
        <f>IF(ISBLANK(Q7),"",Q7)</f>
        <v/>
      </c>
      <c r="AK7" s="761"/>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1" t="str">
        <f>IF(Francais," FACTURATION:"," BILL TO:")</f>
        <v xml:space="preserve"> BILL TO:</v>
      </c>
      <c r="C9" s="751"/>
      <c r="D9" s="751"/>
      <c r="E9" s="751"/>
      <c r="F9" s="751"/>
      <c r="G9" s="751"/>
      <c r="H9" s="134"/>
      <c r="I9" s="751" t="str">
        <f>IF(Francais," LIVRAISON:"," SHIP TO:")</f>
        <v xml:space="preserve"> SHIP TO:</v>
      </c>
      <c r="J9" s="751"/>
      <c r="K9" s="751"/>
      <c r="L9" s="751"/>
      <c r="M9" s="127"/>
      <c r="N9" s="751" t="str">
        <f>IF(Francais," DÉTAILS D'EXPÉDITION:"," SHIPPING DETAILS:")</f>
        <v xml:space="preserve"> SHIPPING DETAILS:</v>
      </c>
      <c r="O9" s="751"/>
      <c r="P9" s="751"/>
      <c r="Q9" s="751"/>
      <c r="R9" s="751"/>
      <c r="T9" s="61"/>
      <c r="U9" s="751" t="str">
        <f>B9</f>
        <v xml:space="preserve"> BILL TO:</v>
      </c>
      <c r="V9" s="751"/>
      <c r="W9" s="751"/>
      <c r="X9" s="751"/>
      <c r="Y9" s="751"/>
      <c r="Z9" s="751"/>
      <c r="AA9" s="134"/>
      <c r="AB9" s="751" t="str">
        <f>I9</f>
        <v xml:space="preserve"> SHIP TO:</v>
      </c>
      <c r="AC9" s="751"/>
      <c r="AD9" s="751"/>
      <c r="AE9" s="751"/>
      <c r="AF9" s="127"/>
      <c r="AG9" s="751" t="str">
        <f>N9</f>
        <v xml:space="preserve"> SHIPPING DETAILS:</v>
      </c>
      <c r="AH9" s="751"/>
      <c r="AI9" s="751"/>
      <c r="AJ9" s="751"/>
      <c r="AK9" s="751"/>
    </row>
    <row r="10" spans="1:37" s="3" customFormat="1" x14ac:dyDescent="0.15">
      <c r="A10" s="61"/>
      <c r="B10" s="751"/>
      <c r="C10" s="751"/>
      <c r="D10" s="751"/>
      <c r="E10" s="751"/>
      <c r="F10" s="751"/>
      <c r="G10" s="751"/>
      <c r="H10" s="134"/>
      <c r="I10" s="751"/>
      <c r="J10" s="751"/>
      <c r="K10" s="751"/>
      <c r="L10" s="751"/>
      <c r="M10" s="127"/>
      <c r="N10" s="751"/>
      <c r="O10" s="751"/>
      <c r="P10" s="751"/>
      <c r="Q10" s="751"/>
      <c r="R10" s="751"/>
      <c r="T10" s="61"/>
      <c r="U10" s="751"/>
      <c r="V10" s="751"/>
      <c r="W10" s="751"/>
      <c r="X10" s="751"/>
      <c r="Y10" s="751"/>
      <c r="Z10" s="751"/>
      <c r="AA10" s="134"/>
      <c r="AB10" s="751"/>
      <c r="AC10" s="751"/>
      <c r="AD10" s="751"/>
      <c r="AE10" s="751"/>
      <c r="AF10" s="127"/>
      <c r="AG10" s="751"/>
      <c r="AH10" s="751"/>
      <c r="AI10" s="751"/>
      <c r="AJ10" s="751"/>
      <c r="AK10" s="751"/>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3" t="str">
        <f>IF(ISBLANK(Home!B10),"",Home!B10)</f>
        <v/>
      </c>
      <c r="C12" s="743"/>
      <c r="D12" s="743"/>
      <c r="E12" s="743"/>
      <c r="F12" s="743"/>
      <c r="G12" s="743"/>
      <c r="H12" s="134"/>
      <c r="I12" s="743" t="str">
        <f>IF(ISBLANK(Home!L10),"",Home!L10)</f>
        <v/>
      </c>
      <c r="J12" s="743"/>
      <c r="K12" s="743"/>
      <c r="L12" s="743"/>
      <c r="M12" s="130"/>
      <c r="N12" s="743" t="str">
        <f>IF(Francais,"Transporteur","Ship via")</f>
        <v>Ship via</v>
      </c>
      <c r="O12" s="743"/>
      <c r="P12" s="743"/>
      <c r="Q12" s="743" t="str">
        <f>IF(ISBLANK(Quote!P12),"",Quote!P12)</f>
        <v/>
      </c>
      <c r="R12" s="743"/>
      <c r="T12" s="51"/>
      <c r="U12" s="743" t="str">
        <f t="shared" ref="U12:U17" si="0">B12</f>
        <v/>
      </c>
      <c r="V12" s="743"/>
      <c r="W12" s="743"/>
      <c r="X12" s="743"/>
      <c r="Y12" s="743"/>
      <c r="Z12" s="743"/>
      <c r="AA12" s="134"/>
      <c r="AB12" s="743" t="str">
        <f t="shared" ref="AB12:AB17" si="1">I12</f>
        <v/>
      </c>
      <c r="AC12" s="743"/>
      <c r="AD12" s="743"/>
      <c r="AE12" s="743"/>
      <c r="AF12" s="130"/>
      <c r="AG12" s="743" t="str">
        <f t="shared" ref="AG12:AG18" si="2">N12</f>
        <v>Ship via</v>
      </c>
      <c r="AH12" s="743"/>
      <c r="AI12" s="743"/>
      <c r="AJ12" s="743" t="str">
        <f>IF(AND(QUOTE_Split_SoftwareHardware,QUOTE_InternetDownload),IF(Francais,"Transporteur","Courier"),IF(ISBLANK(Q12),"",Q12))</f>
        <v/>
      </c>
      <c r="AK12" s="743"/>
    </row>
    <row r="13" spans="1:37" ht="11.25" customHeight="1" x14ac:dyDescent="0.2">
      <c r="B13" s="743" t="str">
        <f>IF(ISBLANK(Home!B11),"",Home!B11)</f>
        <v/>
      </c>
      <c r="C13" s="743"/>
      <c r="D13" s="743"/>
      <c r="E13" s="743"/>
      <c r="F13" s="743"/>
      <c r="G13" s="743"/>
      <c r="H13" s="134"/>
      <c r="I13" s="743" t="str">
        <f>IF(ISBLANK(Home!L11),"",Home!L11)</f>
        <v/>
      </c>
      <c r="J13" s="743"/>
      <c r="K13" s="743"/>
      <c r="L13" s="743"/>
      <c r="M13" s="130"/>
      <c r="N13" s="743" t="s">
        <v>20</v>
      </c>
      <c r="O13" s="743"/>
      <c r="P13" s="743"/>
      <c r="Q13" s="743" t="str">
        <f>IF(ISBLANK(Quote!P13),"",Quote!P13)</f>
        <v/>
      </c>
      <c r="R13" s="743"/>
      <c r="T13" s="51"/>
      <c r="U13" s="743" t="str">
        <f t="shared" si="0"/>
        <v/>
      </c>
      <c r="V13" s="743"/>
      <c r="W13" s="743"/>
      <c r="X13" s="743"/>
      <c r="Y13" s="743"/>
      <c r="Z13" s="743"/>
      <c r="AA13" s="134"/>
      <c r="AB13" s="743" t="str">
        <f t="shared" si="1"/>
        <v/>
      </c>
      <c r="AC13" s="743"/>
      <c r="AD13" s="743"/>
      <c r="AE13" s="743"/>
      <c r="AF13" s="130"/>
      <c r="AG13" s="743" t="str">
        <f t="shared" si="2"/>
        <v>Incoterms</v>
      </c>
      <c r="AH13" s="743"/>
      <c r="AI13" s="743"/>
      <c r="AJ13" s="743" t="str">
        <f t="shared" ref="AJ13:AJ17" si="3">IF(ISBLANK(Q13),"",Q13)</f>
        <v/>
      </c>
      <c r="AK13" s="743"/>
    </row>
    <row r="14" spans="1:37" ht="11.25" customHeight="1" x14ac:dyDescent="0.2">
      <c r="B14" s="743" t="str">
        <f>IF(ISBLANK(Home!B12),"",Home!B12)</f>
        <v/>
      </c>
      <c r="C14" s="743"/>
      <c r="D14" s="743"/>
      <c r="E14" s="743"/>
      <c r="F14" s="743"/>
      <c r="G14" s="743"/>
      <c r="H14" s="134"/>
      <c r="I14" s="743" t="str">
        <f>IF(ISBLANK(Home!L12),"",Home!L12)</f>
        <v/>
      </c>
      <c r="J14" s="743"/>
      <c r="K14" s="743"/>
      <c r="L14" s="743"/>
      <c r="M14" s="130"/>
      <c r="N14" s="743" t="str">
        <f>IF(Francais,"Poids volumétrique (lb)","Billing WT (lbs)")</f>
        <v>Billing WT (lbs)</v>
      </c>
      <c r="O14" s="743"/>
      <c r="P14" s="743"/>
      <c r="Q14" s="743">
        <f>IF(ISBLANK(Quote!P14),"",Quote!P14)</f>
        <v>0</v>
      </c>
      <c r="R14" s="743"/>
      <c r="T14" s="51"/>
      <c r="U14" s="743" t="str">
        <f t="shared" si="0"/>
        <v/>
      </c>
      <c r="V14" s="743"/>
      <c r="W14" s="743"/>
      <c r="X14" s="743"/>
      <c r="Y14" s="743"/>
      <c r="Z14" s="743"/>
      <c r="AA14" s="134"/>
      <c r="AB14" s="743" t="str">
        <f t="shared" si="1"/>
        <v/>
      </c>
      <c r="AC14" s="743"/>
      <c r="AD14" s="743"/>
      <c r="AE14" s="743"/>
      <c r="AF14" s="130"/>
      <c r="AG14" s="743" t="str">
        <f t="shared" si="2"/>
        <v>Billing WT (lbs)</v>
      </c>
      <c r="AH14" s="743"/>
      <c r="AI14" s="743"/>
      <c r="AJ14" s="743">
        <f t="shared" si="3"/>
        <v>0</v>
      </c>
      <c r="AK14" s="743"/>
    </row>
    <row r="15" spans="1:37" ht="11.25" customHeight="1" x14ac:dyDescent="0.2">
      <c r="B15" s="743" t="str">
        <f>HOME_City &amp; ", " &amp; HOME_Province &amp; " " &amp; HOME_Zip</f>
        <v xml:space="preserve">,  </v>
      </c>
      <c r="C15" s="743"/>
      <c r="D15" s="743"/>
      <c r="E15" s="743"/>
      <c r="F15" s="743"/>
      <c r="G15" s="743"/>
      <c r="H15" s="134"/>
      <c r="I15" s="743" t="str">
        <f>HOME_City_Ship &amp; ", " &amp; HOME_Province_Ship &amp; " " &amp; HOME_Zip_Ship</f>
        <v xml:space="preserve">,  </v>
      </c>
      <c r="J15" s="743"/>
      <c r="K15" s="743"/>
      <c r="L15" s="743"/>
      <c r="M15" s="130"/>
      <c r="N15" s="743" t="str">
        <f>IF(Francais,"Poids brut (lb)","Gross WT (lbs)")</f>
        <v>Gross WT (lbs)</v>
      </c>
      <c r="O15" s="743"/>
      <c r="P15" s="743"/>
      <c r="Q15" s="743" t="str">
        <f>IF(ISBLANK(Quote!P15),"",Quote!P15)</f>
        <v/>
      </c>
      <c r="R15" s="743"/>
      <c r="T15" s="51"/>
      <c r="U15" s="743" t="str">
        <f t="shared" si="0"/>
        <v xml:space="preserve">,  </v>
      </c>
      <c r="V15" s="743"/>
      <c r="W15" s="743"/>
      <c r="X15" s="743"/>
      <c r="Y15" s="743"/>
      <c r="Z15" s="743"/>
      <c r="AA15" s="134"/>
      <c r="AB15" s="743" t="str">
        <f t="shared" si="1"/>
        <v xml:space="preserve">,  </v>
      </c>
      <c r="AC15" s="743"/>
      <c r="AD15" s="743"/>
      <c r="AE15" s="743"/>
      <c r="AF15" s="130"/>
      <c r="AG15" s="743" t="str">
        <f t="shared" si="2"/>
        <v>Gross WT (lbs)</v>
      </c>
      <c r="AH15" s="743"/>
      <c r="AI15" s="743"/>
      <c r="AJ15" s="743" t="str">
        <f t="shared" si="3"/>
        <v/>
      </c>
      <c r="AK15" s="743"/>
    </row>
    <row r="16" spans="1:37" ht="11.25" customHeight="1" x14ac:dyDescent="0.2">
      <c r="B16" s="743" t="str">
        <f>IF(ISBLANK(Home!B14),"",Home!B14)</f>
        <v/>
      </c>
      <c r="C16" s="743"/>
      <c r="D16" s="743"/>
      <c r="E16" s="743"/>
      <c r="F16" s="743"/>
      <c r="G16" s="743"/>
      <c r="H16" s="134"/>
      <c r="I16" s="743" t="str">
        <f>IF(ISBLANK(Home!L14),"",Home!L14)</f>
        <v/>
      </c>
      <c r="J16" s="743"/>
      <c r="K16" s="743"/>
      <c r="L16" s="743"/>
      <c r="M16" s="130"/>
      <c r="N16" s="743" t="str">
        <f>IF(Francais,"Nombre de colis","Total Package(s)")</f>
        <v>Total Package(s)</v>
      </c>
      <c r="O16" s="743"/>
      <c r="P16" s="743"/>
      <c r="Q16" s="743">
        <f>IF(ISBLANK(Quote!P16),"",Quote!P16)</f>
        <v>0</v>
      </c>
      <c r="R16" s="743"/>
      <c r="T16" s="51"/>
      <c r="U16" s="743" t="str">
        <f>B16</f>
        <v/>
      </c>
      <c r="V16" s="743"/>
      <c r="W16" s="743"/>
      <c r="X16" s="743"/>
      <c r="Y16" s="743"/>
      <c r="Z16" s="743"/>
      <c r="AA16" s="134"/>
      <c r="AB16" s="743" t="str">
        <f>I16</f>
        <v/>
      </c>
      <c r="AC16" s="743"/>
      <c r="AD16" s="743"/>
      <c r="AE16" s="743"/>
      <c r="AF16" s="130"/>
      <c r="AG16" s="743" t="str">
        <f t="shared" si="2"/>
        <v>Total Package(s)</v>
      </c>
      <c r="AH16" s="743"/>
      <c r="AI16" s="743"/>
      <c r="AJ16" s="743">
        <f>IF(NOT(QUOTE_Split_SoftwareHardware),
IF(ISBLANK(Q16),"",Q16),
TotalPackages)</f>
        <v>0</v>
      </c>
      <c r="AK16" s="743"/>
    </row>
    <row r="17" spans="1:37" ht="11.25" customHeight="1" x14ac:dyDescent="0.2">
      <c r="B17" s="754" t="str">
        <f>"Contact: "&amp;Home!B9&amp;" "&amp;Home!F9&amp;" "&amp;Home!H9</f>
        <v xml:space="preserve">Contact:   </v>
      </c>
      <c r="C17" s="754"/>
      <c r="D17" s="754"/>
      <c r="E17" s="754"/>
      <c r="F17" s="754"/>
      <c r="G17" s="754"/>
      <c r="H17" s="137"/>
      <c r="I17" s="754" t="str">
        <f>"Contact: "&amp;Home!L9&amp;" "&amp;Home!P9&amp;" "&amp;Home!R9</f>
        <v xml:space="preserve">Contact:   </v>
      </c>
      <c r="J17" s="754"/>
      <c r="K17" s="754"/>
      <c r="L17" s="754"/>
      <c r="M17" s="130"/>
      <c r="N17" s="743" t="str">
        <f>IF(Francais,"No. de repérage", "Tracking No.")</f>
        <v>Tracking No.</v>
      </c>
      <c r="O17" s="743"/>
      <c r="P17" s="743"/>
      <c r="Q17" s="773"/>
      <c r="R17" s="773"/>
      <c r="T17" s="51"/>
      <c r="U17" s="754" t="str">
        <f t="shared" si="0"/>
        <v xml:space="preserve">Contact:   </v>
      </c>
      <c r="V17" s="754"/>
      <c r="W17" s="754"/>
      <c r="X17" s="754"/>
      <c r="Y17" s="754"/>
      <c r="Z17" s="754"/>
      <c r="AA17" s="137"/>
      <c r="AB17" s="754" t="str">
        <f t="shared" si="1"/>
        <v xml:space="preserve">Contact:   </v>
      </c>
      <c r="AC17" s="754"/>
      <c r="AD17" s="754"/>
      <c r="AE17" s="754"/>
      <c r="AF17" s="130"/>
      <c r="AG17" s="743" t="str">
        <f t="shared" si="2"/>
        <v>Tracking No.</v>
      </c>
      <c r="AH17" s="743"/>
      <c r="AI17" s="743"/>
      <c r="AJ17" s="772" t="str">
        <f t="shared" si="3"/>
        <v/>
      </c>
      <c r="AK17" s="772"/>
    </row>
    <row r="18" spans="1:37" ht="11.25" customHeight="1" x14ac:dyDescent="0.2">
      <c r="B18" s="325" t="str">
        <f>IF(Francais,"Tél.","Tel.")</f>
        <v>Tel.</v>
      </c>
      <c r="C18" s="754" t="str">
        <f>IF(ISBLANK(Home!B15),"",Home!B15)</f>
        <v/>
      </c>
      <c r="D18" s="754"/>
      <c r="E18" s="754"/>
      <c r="F18" s="754"/>
      <c r="G18" s="754"/>
      <c r="H18" s="137"/>
      <c r="I18" s="325" t="str">
        <f>IF(Francais,"Tél.","Tel.")</f>
        <v>Tel.</v>
      </c>
      <c r="J18" s="754" t="str">
        <f>IF(ISBLANK(Home!L15),"",Home!L15)</f>
        <v/>
      </c>
      <c r="K18" s="754"/>
      <c r="L18" s="754"/>
      <c r="M18" s="130"/>
      <c r="N18" s="743" t="str">
        <f>IF(Francais,"Dimensions boîte (po)","Box Dimensions (in)")</f>
        <v>Box Dimensions (in)</v>
      </c>
      <c r="O18" s="743"/>
      <c r="P18" s="743"/>
      <c r="Q18" s="816" t="str">
        <f>IF(ISBLANK(Quote!P17),"",Quote!P17)</f>
        <v/>
      </c>
      <c r="R18" s="816"/>
      <c r="T18" s="51"/>
      <c r="U18" s="325" t="str">
        <f>IF(Francais,"Tél.","Tel.")</f>
        <v>Tel.</v>
      </c>
      <c r="V18" s="759" t="str">
        <f>C18</f>
        <v/>
      </c>
      <c r="W18" s="759"/>
      <c r="X18" s="754"/>
      <c r="Y18" s="754"/>
      <c r="Z18" s="754"/>
      <c r="AA18" s="137"/>
      <c r="AB18" s="325" t="str">
        <f>IF(Francais,"Tél.","Tel.")</f>
        <v>Tel.</v>
      </c>
      <c r="AC18" s="754" t="str">
        <f>J18</f>
        <v/>
      </c>
      <c r="AD18" s="754"/>
      <c r="AE18" s="754"/>
      <c r="AF18" s="130"/>
      <c r="AG18" s="743" t="str">
        <f t="shared" si="2"/>
        <v>Box Dimensions (in)</v>
      </c>
      <c r="AH18" s="743"/>
      <c r="AI18" s="743"/>
      <c r="AJ18" s="816" t="str">
        <f>IF(NOT(QUOTE_Split_SoftwareHardware),
IF(ISBLANK(Q18),"",Q18),Vars!N86)</f>
        <v/>
      </c>
      <c r="AK18" s="816"/>
    </row>
    <row r="19" spans="1:37" ht="11" customHeight="1" x14ac:dyDescent="0.2">
      <c r="B19" s="754"/>
      <c r="C19" s="754"/>
      <c r="D19" s="754"/>
      <c r="E19" s="754"/>
      <c r="F19" s="754"/>
      <c r="G19" s="754"/>
      <c r="H19" s="137"/>
      <c r="I19" s="754" t="str">
        <f>IF(Francais,
"#Id Taxes / EORI",
"Tax Id / EORI #"
)</f>
        <v>Tax Id / EORI #</v>
      </c>
      <c r="J19" s="754"/>
      <c r="K19" s="746" t="str">
        <f>IF(ISBLANK(Quote!J19),"",Quote!J19)</f>
        <v/>
      </c>
      <c r="L19" s="746"/>
      <c r="M19" s="325"/>
      <c r="N19" s="325"/>
      <c r="O19" s="325"/>
      <c r="P19" s="130"/>
      <c r="Q19" s="816"/>
      <c r="R19" s="816"/>
      <c r="T19" s="51"/>
      <c r="U19" s="754"/>
      <c r="V19" s="754"/>
      <c r="W19" s="754"/>
      <c r="X19" s="754"/>
      <c r="Y19" s="754"/>
      <c r="Z19" s="754"/>
      <c r="AA19" s="327"/>
      <c r="AB19" s="754" t="str">
        <f>IF(Francais,
"#Id Taxes / EORI",
"Tax Id / EORI #"
)</f>
        <v>Tax Id / EORI #</v>
      </c>
      <c r="AC19" s="754"/>
      <c r="AD19" s="746" t="str">
        <f>IF(ISBLANK(K19),"",K19)</f>
        <v/>
      </c>
      <c r="AE19" s="746"/>
      <c r="AF19" s="325"/>
      <c r="AG19" s="325"/>
      <c r="AH19" s="325"/>
      <c r="AI19" s="130"/>
      <c r="AJ19" s="816"/>
      <c r="AK19" s="816"/>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94"/>
      <c r="B21" s="79" t="s">
        <v>38</v>
      </c>
      <c r="C21" s="80" t="str">
        <f>IF(Francais,"QTÉ","QTY")</f>
        <v>QTY</v>
      </c>
      <c r="D21" s="80" t="str">
        <f>IF(Francais,"EXP.","SHIP.")</f>
        <v>SHIP.</v>
      </c>
      <c r="E21" s="755" t="s">
        <v>22</v>
      </c>
      <c r="F21" s="755"/>
      <c r="G21" s="80"/>
      <c r="H21" s="80"/>
      <c r="I21" s="80"/>
      <c r="J21" s="80"/>
      <c r="K21" s="80"/>
      <c r="L21" s="80"/>
      <c r="M21" s="80"/>
      <c r="N21" s="80"/>
      <c r="O21" s="817" t="str">
        <f>IF(Francais,"CODE HARMONISÉ","HARMONIZED CODE")</f>
        <v>HARMONIZED CODE</v>
      </c>
      <c r="P21" s="817"/>
      <c r="Q21" s="80"/>
      <c r="R21" s="81"/>
      <c r="T21" s="94"/>
      <c r="U21" s="79" t="s">
        <v>38</v>
      </c>
      <c r="V21" s="80" t="str">
        <f>IF(Francais,"QTÉ","QTY")</f>
        <v>QTY</v>
      </c>
      <c r="W21" s="80" t="str">
        <f>IF(Francais,"EXP.","SHIP.")</f>
        <v>SHIP.</v>
      </c>
      <c r="X21" s="755" t="s">
        <v>22</v>
      </c>
      <c r="Y21" s="755"/>
      <c r="Z21" s="80"/>
      <c r="AA21" s="80"/>
      <c r="AB21" s="80"/>
      <c r="AC21" s="80"/>
      <c r="AD21" s="80"/>
      <c r="AE21" s="80"/>
      <c r="AF21" s="80"/>
      <c r="AG21" s="80"/>
      <c r="AH21" s="817" t="str">
        <f>IF(Francais,"CODE HARMONISÉ","HARMONIZED CODE")</f>
        <v>HARMONIZED CODE</v>
      </c>
      <c r="AI21" s="817"/>
      <c r="AJ21" s="80"/>
      <c r="AK21" s="81"/>
    </row>
    <row r="22" spans="1:37" ht="11" customHeight="1" x14ac:dyDescent="0.2">
      <c r="A22" s="89"/>
      <c r="B22" s="330"/>
      <c r="C22" s="331"/>
      <c r="D22" s="331"/>
      <c r="E22" s="778" t="str">
        <f>IF(ISBLANK(Quote!D22),"",Quote!D22)</f>
        <v/>
      </c>
      <c r="F22" s="756"/>
      <c r="G22" s="756"/>
      <c r="H22" s="756"/>
      <c r="I22" s="756"/>
      <c r="J22" s="756"/>
      <c r="K22" s="756"/>
      <c r="L22" s="756"/>
      <c r="M22" s="756"/>
      <c r="N22" s="756"/>
      <c r="O22" s="776"/>
      <c r="P22" s="777"/>
      <c r="Q22" s="268"/>
      <c r="R22" s="269"/>
      <c r="T22" s="89"/>
      <c r="U22" s="330"/>
      <c r="V22" s="331"/>
      <c r="W22" s="331"/>
      <c r="X22" s="778" t="str">
        <f>IF(ISBLANK(Quote!V22),"",Quote!V22)</f>
        <v/>
      </c>
      <c r="Y22" s="756"/>
      <c r="Z22" s="756"/>
      <c r="AA22" s="756"/>
      <c r="AB22" s="756"/>
      <c r="AC22" s="756"/>
      <c r="AD22" s="756"/>
      <c r="AE22" s="756"/>
      <c r="AF22" s="756"/>
      <c r="AG22" s="756"/>
      <c r="AH22" s="776"/>
      <c r="AI22" s="777"/>
      <c r="AJ22" s="268"/>
      <c r="AK22" s="269"/>
    </row>
    <row r="23" spans="1:37" ht="11.25" customHeight="1" x14ac:dyDescent="0.2">
      <c r="A23" s="89"/>
      <c r="B23" s="78" t="str">
        <f>IF(AND(C23&gt;0,C23&lt;&gt;"",AND(LEFT(E23,7)&lt;&gt;"   • Wi",LEFT(E23,7)&lt;&gt;"   • XL")),COUNT($C$23:C23)-(SUMPRODUCT(--(LEFT($E$23:E23,7)="   • Wi"))+SUMPRODUCT(--(LEFT($E$23:E23,7)="   • XL"))),"")</f>
        <v/>
      </c>
      <c r="C23" s="87" t="str">
        <f>IF(IFERROR(SEARCH("% discount on",QCalc!$N3),0)=0,
IF(NOT(QUOTE_Split_SoftwareHardware),QCalc!Q3,QCalc!X3),"")</f>
        <v/>
      </c>
      <c r="D23" s="87" t="str">
        <f>C23</f>
        <v/>
      </c>
      <c r="E23" s="735" t="str">
        <f>IF(IFERROR(SEARCH("% discount on",QCalc!$N3),0)=0,
IF(NOT(QUOTE_Split_SoftwareHardware),QCalc!N3,QCalc!U3),"")</f>
        <v/>
      </c>
      <c r="F23" s="735"/>
      <c r="G23" s="735"/>
      <c r="H23" s="735"/>
      <c r="I23" s="735"/>
      <c r="J23" s="735"/>
      <c r="K23" s="735"/>
      <c r="L23" s="735"/>
      <c r="M23" s="735"/>
      <c r="N23" s="735"/>
      <c r="O23" s="736" t="str">
        <f>IF(NOT(QUOTE_Split_SoftwareHardware),QCalc!O3,QCalc!V3)</f>
        <v/>
      </c>
      <c r="P23" s="737"/>
      <c r="Q23" s="270"/>
      <c r="R23" s="271"/>
      <c r="T23" s="89"/>
      <c r="U23" s="78" t="str">
        <f>IF(AND(V23&gt;0,V23&lt;&gt;"",AND(LEFT(X23,7)&lt;&gt;"   • Wi",LEFT(X23,7)&lt;&gt;"   • XL")),COUNT($V$23:V23)-(SUMPRODUCT(--(LEFT($X$23:X23,7)="   • Wi"))+SUMPRODUCT(--(LEFT($X$23:X23,7)="   • XL")))+IF(NOT(QUOTE_Split_SoftwareHardware),MAX($B$23:$B$53),0),"")</f>
        <v/>
      </c>
      <c r="V23" s="87" t="str">
        <f>IF(IFERROR(SEARCH("% discount on",QCalc!$AE3),0)=0,
IF(NOT(QUOTE_Split_SoftwareHardware),QCalc!Q34,QCalc!AE3),"")</f>
        <v/>
      </c>
      <c r="W23" s="87" t="str">
        <f>V23</f>
        <v/>
      </c>
      <c r="X23" s="735" t="str">
        <f>IF(IFERROR(SEARCH("% discount on",QCalc!$AE3),0)=0,
IF(NOT(QUOTE_Split_SoftwareHardware),QCalc!N34,QCalc!AB3),"")</f>
        <v/>
      </c>
      <c r="Y23" s="735"/>
      <c r="Z23" s="735"/>
      <c r="AA23" s="735"/>
      <c r="AB23" s="735"/>
      <c r="AC23" s="735"/>
      <c r="AD23" s="735"/>
      <c r="AE23" s="735"/>
      <c r="AF23" s="735"/>
      <c r="AG23" s="735"/>
      <c r="AH23" s="736" t="str">
        <f>IF(NOT(QUOTE_Split_SoftwareHardware),QCalc!O34,QCalc!AC3)</f>
        <v/>
      </c>
      <c r="AI23" s="737"/>
      <c r="AJ23" s="270"/>
      <c r="AK23" s="271"/>
    </row>
    <row r="24" spans="1:37" ht="11.25" customHeight="1" x14ac:dyDescent="0.2">
      <c r="A24" s="89"/>
      <c r="B24" s="78" t="str">
        <f>IF(AND(C24&gt;0,C24&lt;&gt;"",AND(LEFT(E24,7)&lt;&gt;"   • Wi",LEFT(E24,7)&lt;&gt;"   • XL")),COUNT($C$23:C24)-(SUMPRODUCT(--(LEFT($E$23:E24,7)="   • Wi"))+SUMPRODUCT(--(LEFT($E$23:E24,7)="   • XL"))),"")</f>
        <v/>
      </c>
      <c r="C24" s="87" t="str">
        <f>IF(IFERROR(SEARCH("% discount on",QCalc!$N4),0)=0,
IF(NOT(QUOTE_Split_SoftwareHardware),QCalc!Q4,QCalc!X4),"")</f>
        <v/>
      </c>
      <c r="D24" s="87" t="str">
        <f t="shared" ref="D24:D53" si="4">C24</f>
        <v/>
      </c>
      <c r="E24" s="734" t="str">
        <f>IF(IFERROR(SEARCH("% discount on",QCalc!$N4),0)=0,
IF(NOT(QUOTE_Split_SoftwareHardware),QCalc!N4,QCalc!U4),"")</f>
        <v/>
      </c>
      <c r="F24" s="735"/>
      <c r="G24" s="735"/>
      <c r="H24" s="735"/>
      <c r="I24" s="735"/>
      <c r="J24" s="735"/>
      <c r="K24" s="735"/>
      <c r="L24" s="735"/>
      <c r="M24" s="735"/>
      <c r="N24" s="735"/>
      <c r="O24" s="736" t="str">
        <f>IF(NOT(QUOTE_Split_SoftwareHardware),QCalc!O4,QCalc!V4)</f>
        <v/>
      </c>
      <c r="P24" s="737"/>
      <c r="Q24" s="270"/>
      <c r="R24" s="271"/>
      <c r="T24" s="89"/>
      <c r="U24" s="78" t="str">
        <f>IF(AND(V24&gt;0,V24&lt;&gt;"",AND(LEFT(X24,7)&lt;&gt;"   • Wi",LEFT(X24,7)&lt;&gt;"   • XL")),COUNT($V$23:V24)-(SUMPRODUCT(--(LEFT($X$23:X24,7)="   • Wi"))+SUMPRODUCT(--(LEFT($X$23:X24,7)="   • XL")))+IF(NOT(QUOTE_Split_SoftwareHardware),MAX($B$23:$B$53),0),"")</f>
        <v/>
      </c>
      <c r="V24" s="87" t="str">
        <f>IF(IFERROR(SEARCH("% discount on",QCalc!$AE4),0)=0,
IF(NOT(QUOTE_Split_SoftwareHardware),QCalc!Q35,QCalc!AE4),"")</f>
        <v/>
      </c>
      <c r="W24" s="87" t="str">
        <f t="shared" ref="W24:W53" si="5">V24</f>
        <v/>
      </c>
      <c r="X24" s="735" t="str">
        <f>IF(IFERROR(SEARCH("% discount on",QCalc!$AE4),0)=0,
IF(NOT(QUOTE_Split_SoftwareHardware),QCalc!N35,QCalc!AB4),"")</f>
        <v/>
      </c>
      <c r="Y24" s="735"/>
      <c r="Z24" s="735"/>
      <c r="AA24" s="735"/>
      <c r="AB24" s="735"/>
      <c r="AC24" s="735"/>
      <c r="AD24" s="735"/>
      <c r="AE24" s="735"/>
      <c r="AF24" s="735"/>
      <c r="AG24" s="735"/>
      <c r="AH24" s="736" t="str">
        <f>IF(NOT(QUOTE_Split_SoftwareHardware),QCalc!O35,QCalc!AC4)</f>
        <v/>
      </c>
      <c r="AI24" s="737"/>
      <c r="AJ24" s="270"/>
      <c r="AK24" s="271"/>
    </row>
    <row r="25" spans="1:37" ht="11.25" customHeight="1" x14ac:dyDescent="0.2">
      <c r="A25" s="89"/>
      <c r="B25" s="78" t="str">
        <f>IF(AND(C25&gt;0,C25&lt;&gt;"",AND(LEFT(E25,7)&lt;&gt;"   • Wi",LEFT(E25,7)&lt;&gt;"   • XL")),COUNT($C$23:C25)-(SUMPRODUCT(--(LEFT($E$23:E25,7)="   • Wi"))+SUMPRODUCT(--(LEFT($E$23:E25,7)="   • XL"))),"")</f>
        <v/>
      </c>
      <c r="C25" s="87" t="str">
        <f>IF(IFERROR(SEARCH("% discount on",QCalc!$N5),0)=0,
IF(NOT(QUOTE_Split_SoftwareHardware),QCalc!Q5,QCalc!X5),"")</f>
        <v/>
      </c>
      <c r="D25" s="87" t="str">
        <f t="shared" si="4"/>
        <v/>
      </c>
      <c r="E25" s="734" t="str">
        <f>IF(IFERROR(SEARCH("% discount on",QCalc!$N5),0)=0,
IF(NOT(QUOTE_Split_SoftwareHardware),QCalc!N5,QCalc!U5),"")</f>
        <v/>
      </c>
      <c r="F25" s="735"/>
      <c r="G25" s="735"/>
      <c r="H25" s="735"/>
      <c r="I25" s="735"/>
      <c r="J25" s="735"/>
      <c r="K25" s="735"/>
      <c r="L25" s="735"/>
      <c r="M25" s="735"/>
      <c r="N25" s="735"/>
      <c r="O25" s="736" t="str">
        <f>IF(NOT(QUOTE_Split_SoftwareHardware),QCalc!O5,QCalc!V5)</f>
        <v/>
      </c>
      <c r="P25" s="737"/>
      <c r="Q25" s="270"/>
      <c r="R25" s="271"/>
      <c r="T25" s="89"/>
      <c r="U25" s="78" t="str">
        <f>IF(AND(V25&gt;0,V25&lt;&gt;"",AND(LEFT(X25,7)&lt;&gt;"   • Wi",LEFT(X25,7)&lt;&gt;"   • XL")),COUNT($V$23:V25)-(SUMPRODUCT(--(LEFT($X$23:X25,7)="   • Wi"))+SUMPRODUCT(--(LEFT($X$23:X25,7)="   • XL")))+IF(NOT(QUOTE_Split_SoftwareHardware),MAX($B$23:$B$53),0),"")</f>
        <v/>
      </c>
      <c r="V25" s="87" t="str">
        <f>IF(IFERROR(SEARCH("% discount on",QCalc!$AE5),0)=0,
IF(NOT(QUOTE_Split_SoftwareHardware),QCalc!Q36,QCalc!AE5),"")</f>
        <v/>
      </c>
      <c r="W25" s="87" t="str">
        <f t="shared" si="5"/>
        <v/>
      </c>
      <c r="X25" s="735" t="str">
        <f>IF(IFERROR(SEARCH("% discount on",QCalc!$AE5),0)=0,
IF(NOT(QUOTE_Split_SoftwareHardware),QCalc!N36,QCalc!AB5),"")</f>
        <v/>
      </c>
      <c r="Y25" s="735"/>
      <c r="Z25" s="735"/>
      <c r="AA25" s="735"/>
      <c r="AB25" s="735"/>
      <c r="AC25" s="735"/>
      <c r="AD25" s="735"/>
      <c r="AE25" s="735"/>
      <c r="AF25" s="735"/>
      <c r="AG25" s="735"/>
      <c r="AH25" s="736" t="str">
        <f>IF(NOT(QUOTE_Split_SoftwareHardware),QCalc!O36,QCalc!AC5)</f>
        <v/>
      </c>
      <c r="AI25" s="737"/>
      <c r="AJ25" s="270"/>
      <c r="AK25" s="271"/>
    </row>
    <row r="26" spans="1:37" ht="11.25" customHeight="1" x14ac:dyDescent="0.2">
      <c r="A26" s="89"/>
      <c r="B26" s="78" t="str">
        <f>IF(AND(C26&gt;0,C26&lt;&gt;"",AND(LEFT(E26,7)&lt;&gt;"   • Wi",LEFT(E26,7)&lt;&gt;"   • XL")),COUNT($C$23:C26)-(SUMPRODUCT(--(LEFT($E$23:E26,7)="   • Wi"))+SUMPRODUCT(--(LEFT($E$23:E26,7)="   • XL"))),"")</f>
        <v/>
      </c>
      <c r="C26" s="87" t="str">
        <f>IF(IFERROR(SEARCH("% discount on",QCalc!$N6),0)=0,
IF(NOT(QUOTE_Split_SoftwareHardware),QCalc!Q6,QCalc!X6),"")</f>
        <v/>
      </c>
      <c r="D26" s="87" t="str">
        <f t="shared" si="4"/>
        <v/>
      </c>
      <c r="E26" s="734" t="str">
        <f>IF(IFERROR(SEARCH("% discount on",QCalc!$N6),0)=0,
IF(NOT(QUOTE_Split_SoftwareHardware),QCalc!N6,QCalc!U6),"")</f>
        <v/>
      </c>
      <c r="F26" s="735"/>
      <c r="G26" s="735"/>
      <c r="H26" s="735"/>
      <c r="I26" s="735"/>
      <c r="J26" s="735"/>
      <c r="K26" s="735"/>
      <c r="L26" s="735"/>
      <c r="M26" s="735"/>
      <c r="N26" s="735"/>
      <c r="O26" s="736" t="str">
        <f>IF(NOT(QUOTE_Split_SoftwareHardware),QCalc!O6,QCalc!V6)</f>
        <v/>
      </c>
      <c r="P26" s="737"/>
      <c r="Q26" s="270"/>
      <c r="R26" s="271"/>
      <c r="T26" s="89"/>
      <c r="U26" s="78" t="str">
        <f>IF(AND(V26&gt;0,V26&lt;&gt;"",AND(LEFT(X26,7)&lt;&gt;"   • Wi",LEFT(X26,7)&lt;&gt;"   • XL")),COUNT($V$23:V26)-(SUMPRODUCT(--(LEFT($X$23:X26,7)="   • Wi"))+SUMPRODUCT(--(LEFT($X$23:X26,7)="   • XL")))+IF(NOT(QUOTE_Split_SoftwareHardware),MAX($B$23:$B$53),0),"")</f>
        <v/>
      </c>
      <c r="V26" s="87" t="str">
        <f>IF(IFERROR(SEARCH("% discount on",QCalc!$AE6),0)=0,
IF(NOT(QUOTE_Split_SoftwareHardware),QCalc!Q37,QCalc!AE6),"")</f>
        <v/>
      </c>
      <c r="W26" s="87" t="str">
        <f t="shared" si="5"/>
        <v/>
      </c>
      <c r="X26" s="735" t="str">
        <f>IF(IFERROR(SEARCH("% discount on",QCalc!$AE6),0)=0,
IF(NOT(QUOTE_Split_SoftwareHardware),QCalc!N37,QCalc!AB6),"")</f>
        <v/>
      </c>
      <c r="Y26" s="735"/>
      <c r="Z26" s="735"/>
      <c r="AA26" s="735"/>
      <c r="AB26" s="735"/>
      <c r="AC26" s="735"/>
      <c r="AD26" s="735"/>
      <c r="AE26" s="735"/>
      <c r="AF26" s="735"/>
      <c r="AG26" s="735"/>
      <c r="AH26" s="736" t="str">
        <f>IF(NOT(QUOTE_Split_SoftwareHardware),QCalc!O37,QCalc!AC6)</f>
        <v/>
      </c>
      <c r="AI26" s="737"/>
      <c r="AJ26" s="270"/>
      <c r="AK26" s="271"/>
    </row>
    <row r="27" spans="1:37" ht="11.25" customHeight="1" x14ac:dyDescent="0.2">
      <c r="A27" s="89"/>
      <c r="B27" s="78" t="str">
        <f>IF(AND(C27&gt;0,C27&lt;&gt;"",AND(LEFT(E27,7)&lt;&gt;"   • Wi",LEFT(E27,7)&lt;&gt;"   • XL")),COUNT($C$23:C27)-(SUMPRODUCT(--(LEFT($E$23:E27,7)="   • Wi"))+SUMPRODUCT(--(LEFT($E$23:E27,7)="   • XL"))),"")</f>
        <v/>
      </c>
      <c r="C27" s="87" t="str">
        <f>IF(IFERROR(SEARCH("% discount on",QCalc!$N7),0)=0,
IF(NOT(QUOTE_Split_SoftwareHardware),QCalc!Q7,QCalc!X7),"")</f>
        <v/>
      </c>
      <c r="D27" s="87" t="str">
        <f t="shared" si="4"/>
        <v/>
      </c>
      <c r="E27" s="734" t="str">
        <f>IF(IFERROR(SEARCH("% discount on",QCalc!$N7),0)=0,
IF(NOT(QUOTE_Split_SoftwareHardware),QCalc!N7,QCalc!U7),"")</f>
        <v/>
      </c>
      <c r="F27" s="735"/>
      <c r="G27" s="735"/>
      <c r="H27" s="735"/>
      <c r="I27" s="735"/>
      <c r="J27" s="735"/>
      <c r="K27" s="735"/>
      <c r="L27" s="735"/>
      <c r="M27" s="735"/>
      <c r="N27" s="735"/>
      <c r="O27" s="736" t="str">
        <f>IF(NOT(QUOTE_Split_SoftwareHardware),QCalc!O7,QCalc!V7)</f>
        <v/>
      </c>
      <c r="P27" s="737"/>
      <c r="Q27" s="270"/>
      <c r="R27" s="271"/>
      <c r="T27" s="89"/>
      <c r="U27" s="78" t="str">
        <f>IF(AND(V27&gt;0,V27&lt;&gt;"",AND(LEFT(X27,7)&lt;&gt;"   • Wi",LEFT(X27,7)&lt;&gt;"   • XL")),COUNT($V$23:V27)-(SUMPRODUCT(--(LEFT($X$23:X27,7)="   • Wi"))+SUMPRODUCT(--(LEFT($X$23:X27,7)="   • XL")))+IF(NOT(QUOTE_Split_SoftwareHardware),MAX($B$23:$B$53),0),"")</f>
        <v/>
      </c>
      <c r="V27" s="87" t="str">
        <f>IF(IFERROR(SEARCH("% discount on",QCalc!$AE7),0)=0,
IF(NOT(QUOTE_Split_SoftwareHardware),QCalc!Q38,QCalc!AE7),"")</f>
        <v/>
      </c>
      <c r="W27" s="87" t="str">
        <f t="shared" si="5"/>
        <v/>
      </c>
      <c r="X27" s="735" t="str">
        <f>IF(IFERROR(SEARCH("% discount on",QCalc!$AE7),0)=0,
IF(NOT(QUOTE_Split_SoftwareHardware),QCalc!N38,QCalc!AB7),"")</f>
        <v/>
      </c>
      <c r="Y27" s="735"/>
      <c r="Z27" s="735"/>
      <c r="AA27" s="735"/>
      <c r="AB27" s="735"/>
      <c r="AC27" s="735"/>
      <c r="AD27" s="735"/>
      <c r="AE27" s="735"/>
      <c r="AF27" s="735"/>
      <c r="AG27" s="735"/>
      <c r="AH27" s="736" t="str">
        <f>IF(NOT(QUOTE_Split_SoftwareHardware),QCalc!O38,QCalc!AC7)</f>
        <v/>
      </c>
      <c r="AI27" s="737"/>
      <c r="AJ27" s="270"/>
      <c r="AK27" s="271"/>
    </row>
    <row r="28" spans="1:37" ht="11.25" customHeight="1" x14ac:dyDescent="0.2">
      <c r="A28" s="89"/>
      <c r="B28" s="78" t="str">
        <f>IF(AND(C28&gt;0,C28&lt;&gt;"",AND(LEFT(E28,7)&lt;&gt;"   • Wi",LEFT(E28,7)&lt;&gt;"   • XL")),COUNT($C$23:C28)-(SUMPRODUCT(--(LEFT($E$23:E28,7)="   • Wi"))+SUMPRODUCT(--(LEFT($E$23:E28,7)="   • XL"))),"")</f>
        <v/>
      </c>
      <c r="C28" s="87" t="str">
        <f>IF(IFERROR(SEARCH("% discount on",QCalc!$N8),0)=0,
IF(NOT(QUOTE_Split_SoftwareHardware),QCalc!Q8,QCalc!X8),"")</f>
        <v/>
      </c>
      <c r="D28" s="87" t="str">
        <f t="shared" si="4"/>
        <v/>
      </c>
      <c r="E28" s="734" t="str">
        <f>IF(IFERROR(SEARCH("% discount on",QCalc!$N8),0)=0,
IF(NOT(QUOTE_Split_SoftwareHardware),QCalc!N8,QCalc!U8),"")</f>
        <v/>
      </c>
      <c r="F28" s="735"/>
      <c r="G28" s="735"/>
      <c r="H28" s="735"/>
      <c r="I28" s="735"/>
      <c r="J28" s="735"/>
      <c r="K28" s="735"/>
      <c r="L28" s="735"/>
      <c r="M28" s="735"/>
      <c r="N28" s="735"/>
      <c r="O28" s="736" t="str">
        <f>IF(NOT(QUOTE_Split_SoftwareHardware),QCalc!O8,QCalc!V8)</f>
        <v/>
      </c>
      <c r="P28" s="737"/>
      <c r="Q28" s="270"/>
      <c r="R28" s="271"/>
      <c r="T28" s="89"/>
      <c r="U28" s="78" t="str">
        <f>IF(AND(V28&gt;0,V28&lt;&gt;"",AND(LEFT(X28,7)&lt;&gt;"   • Wi",LEFT(X28,7)&lt;&gt;"   • XL")),COUNT($V$23:V28)-(SUMPRODUCT(--(LEFT($X$23:X28,7)="   • Wi"))+SUMPRODUCT(--(LEFT($X$23:X28,7)="   • XL")))+IF(NOT(QUOTE_Split_SoftwareHardware),MAX($B$23:$B$53),0),"")</f>
        <v/>
      </c>
      <c r="V28" s="87" t="str">
        <f>IF(IFERROR(SEARCH("% discount on",QCalc!$AE8),0)=0,
IF(NOT(QUOTE_Split_SoftwareHardware),QCalc!Q39,QCalc!AE8),"")</f>
        <v/>
      </c>
      <c r="W28" s="87" t="str">
        <f t="shared" si="5"/>
        <v/>
      </c>
      <c r="X28" s="735" t="str">
        <f>IF(IFERROR(SEARCH("% discount on",QCalc!$AE8),0)=0,
IF(NOT(QUOTE_Split_SoftwareHardware),QCalc!N39,QCalc!AB8),"")</f>
        <v/>
      </c>
      <c r="Y28" s="735"/>
      <c r="Z28" s="735"/>
      <c r="AA28" s="735"/>
      <c r="AB28" s="735"/>
      <c r="AC28" s="735"/>
      <c r="AD28" s="735"/>
      <c r="AE28" s="735"/>
      <c r="AF28" s="735"/>
      <c r="AG28" s="735"/>
      <c r="AH28" s="736" t="str">
        <f>IF(NOT(QUOTE_Split_SoftwareHardware),QCalc!O39,QCalc!AC8)</f>
        <v/>
      </c>
      <c r="AI28" s="737"/>
      <c r="AJ28" s="270"/>
      <c r="AK28" s="271"/>
    </row>
    <row r="29" spans="1:37" ht="11.25" customHeight="1" x14ac:dyDescent="0.2">
      <c r="A29" s="89"/>
      <c r="B29" s="78" t="str">
        <f>IF(AND(C29&gt;0,C29&lt;&gt;"",AND(LEFT(E29,7)&lt;&gt;"   • Wi",LEFT(E29,7)&lt;&gt;"   • XL")),COUNT($C$23:C29)-(SUMPRODUCT(--(LEFT($E$23:E29,7)="   • Wi"))+SUMPRODUCT(--(LEFT($E$23:E29,7)="   • XL"))),"")</f>
        <v/>
      </c>
      <c r="C29" s="87" t="str">
        <f>IF(IFERROR(SEARCH("% discount on",QCalc!$N9),0)=0,
IF(NOT(QUOTE_Split_SoftwareHardware),QCalc!Q9,QCalc!X9),"")</f>
        <v/>
      </c>
      <c r="D29" s="87" t="str">
        <f t="shared" si="4"/>
        <v/>
      </c>
      <c r="E29" s="734" t="str">
        <f>IF(IFERROR(SEARCH("% discount on",QCalc!$N9),0)=0,
IF(NOT(QUOTE_Split_SoftwareHardware),QCalc!N9,QCalc!U9),"")</f>
        <v/>
      </c>
      <c r="F29" s="735"/>
      <c r="G29" s="735"/>
      <c r="H29" s="735"/>
      <c r="I29" s="735"/>
      <c r="J29" s="735"/>
      <c r="K29" s="735"/>
      <c r="L29" s="735"/>
      <c r="M29" s="735"/>
      <c r="N29" s="735"/>
      <c r="O29" s="736" t="str">
        <f>IF(NOT(QUOTE_Split_SoftwareHardware),QCalc!O9,QCalc!V9)</f>
        <v/>
      </c>
      <c r="P29" s="737"/>
      <c r="Q29" s="270"/>
      <c r="R29" s="271"/>
      <c r="T29" s="89"/>
      <c r="U29" s="78" t="str">
        <f>IF(AND(V29&gt;0,V29&lt;&gt;"",AND(LEFT(X29,7)&lt;&gt;"   • Wi",LEFT(X29,7)&lt;&gt;"   • XL")),COUNT($V$23:V29)-(SUMPRODUCT(--(LEFT($X$23:X29,7)="   • Wi"))+SUMPRODUCT(--(LEFT($X$23:X29,7)="   • XL")))+IF(NOT(QUOTE_Split_SoftwareHardware),MAX($B$23:$B$53),0),"")</f>
        <v/>
      </c>
      <c r="V29" s="87" t="str">
        <f>IF(IFERROR(SEARCH("% discount on",QCalc!$AE9),0)=0,
IF(NOT(QUOTE_Split_SoftwareHardware),QCalc!Q40,QCalc!AE9),"")</f>
        <v/>
      </c>
      <c r="W29" s="87" t="str">
        <f t="shared" si="5"/>
        <v/>
      </c>
      <c r="X29" s="735" t="str">
        <f>IF(IFERROR(SEARCH("% discount on",QCalc!$AE9),0)=0,
IF(NOT(QUOTE_Split_SoftwareHardware),QCalc!N40,QCalc!AB9),"")</f>
        <v/>
      </c>
      <c r="Y29" s="735"/>
      <c r="Z29" s="735"/>
      <c r="AA29" s="735"/>
      <c r="AB29" s="735"/>
      <c r="AC29" s="735"/>
      <c r="AD29" s="735"/>
      <c r="AE29" s="735"/>
      <c r="AF29" s="735"/>
      <c r="AG29" s="735"/>
      <c r="AH29" s="736" t="str">
        <f>IF(NOT(QUOTE_Split_SoftwareHardware),QCalc!O40,QCalc!AC9)</f>
        <v/>
      </c>
      <c r="AI29" s="737"/>
      <c r="AJ29" s="270"/>
      <c r="AK29" s="271"/>
    </row>
    <row r="30" spans="1:37" ht="11" customHeight="1" x14ac:dyDescent="0.2">
      <c r="A30" s="89"/>
      <c r="B30" s="78" t="str">
        <f>IF(AND(C30&gt;0,C30&lt;&gt;"",AND(LEFT(E30,7)&lt;&gt;"   • Wi",LEFT(E30,7)&lt;&gt;"   • XL")),COUNT($C$23:C30)-(SUMPRODUCT(--(LEFT($E$23:E30,7)="   • Wi"))+SUMPRODUCT(--(LEFT($E$23:E30,7)="   • XL"))),"")</f>
        <v/>
      </c>
      <c r="C30" s="87" t="str">
        <f>IF(IFERROR(SEARCH("% discount on",QCalc!$N10),0)=0,
IF(NOT(QUOTE_Split_SoftwareHardware),QCalc!Q10,QCalc!X10),"")</f>
        <v/>
      </c>
      <c r="D30" s="87" t="str">
        <f t="shared" si="4"/>
        <v/>
      </c>
      <c r="E30" s="734" t="str">
        <f>IF(IFERROR(SEARCH("% discount on",QCalc!$N10),0)=0,
IF(NOT(QUOTE_Split_SoftwareHardware),QCalc!N10,QCalc!U10),"")</f>
        <v/>
      </c>
      <c r="F30" s="735"/>
      <c r="G30" s="735"/>
      <c r="H30" s="735"/>
      <c r="I30" s="735"/>
      <c r="J30" s="735"/>
      <c r="K30" s="735"/>
      <c r="L30" s="735"/>
      <c r="M30" s="735"/>
      <c r="N30" s="735"/>
      <c r="O30" s="736" t="str">
        <f>IF(NOT(QUOTE_Split_SoftwareHardware),QCalc!O10,QCalc!V10)</f>
        <v/>
      </c>
      <c r="P30" s="737"/>
      <c r="Q30" s="270"/>
      <c r="R30" s="271"/>
      <c r="T30" s="89"/>
      <c r="U30" s="78" t="str">
        <f>IF(AND(V30&gt;0,V30&lt;&gt;"",AND(LEFT(X30,7)&lt;&gt;"   • Wi",LEFT(X30,7)&lt;&gt;"   • XL")),COUNT($V$23:V30)-(SUMPRODUCT(--(LEFT($X$23:X30,7)="   • Wi"))+SUMPRODUCT(--(LEFT($X$23:X30,7)="   • XL")))+IF(NOT(QUOTE_Split_SoftwareHardware),MAX($B$23:$B$53),0),"")</f>
        <v/>
      </c>
      <c r="V30" s="87" t="str">
        <f>IF(IFERROR(SEARCH("% discount on",QCalc!$AE10),0)=0,
IF(NOT(QUOTE_Split_SoftwareHardware),QCalc!Q41,QCalc!AE10),"")</f>
        <v/>
      </c>
      <c r="W30" s="87" t="str">
        <f t="shared" si="5"/>
        <v/>
      </c>
      <c r="X30" s="735" t="str">
        <f>IF(IFERROR(SEARCH("% discount on",QCalc!$AE10),0)=0,
IF(NOT(QUOTE_Split_SoftwareHardware),QCalc!N41,QCalc!AB10),"")</f>
        <v/>
      </c>
      <c r="Y30" s="735"/>
      <c r="Z30" s="735"/>
      <c r="AA30" s="735"/>
      <c r="AB30" s="735"/>
      <c r="AC30" s="735"/>
      <c r="AD30" s="735"/>
      <c r="AE30" s="735"/>
      <c r="AF30" s="735"/>
      <c r="AG30" s="735"/>
      <c r="AH30" s="736" t="str">
        <f>IF(NOT(QUOTE_Split_SoftwareHardware),QCalc!O41,QCalc!AC10)</f>
        <v/>
      </c>
      <c r="AI30" s="737"/>
      <c r="AJ30" s="270"/>
      <c r="AK30" s="271"/>
    </row>
    <row r="31" spans="1:37" ht="11" customHeight="1" x14ac:dyDescent="0.2">
      <c r="A31" s="89"/>
      <c r="B31" s="78" t="str">
        <f>IF(AND(C31&gt;0,C31&lt;&gt;"",AND(LEFT(E31,7)&lt;&gt;"   • Wi",LEFT(E31,7)&lt;&gt;"   • XL")),COUNT($C$23:C31)-(SUMPRODUCT(--(LEFT($E$23:E31,7)="   • Wi"))+SUMPRODUCT(--(LEFT($E$23:E31,7)="   • XL"))),"")</f>
        <v/>
      </c>
      <c r="C31" s="87" t="str">
        <f>IF(IFERROR(SEARCH("% discount on",QCalc!$N11),0)=0,
IF(NOT(QUOTE_Split_SoftwareHardware),QCalc!Q11,QCalc!X11),"")</f>
        <v/>
      </c>
      <c r="D31" s="87" t="str">
        <f t="shared" si="4"/>
        <v/>
      </c>
      <c r="E31" s="734" t="str">
        <f>IF(IFERROR(SEARCH("% discount on",QCalc!$N11),0)=0,
IF(NOT(QUOTE_Split_SoftwareHardware),QCalc!N11,QCalc!U11),"")</f>
        <v/>
      </c>
      <c r="F31" s="735"/>
      <c r="G31" s="735"/>
      <c r="H31" s="735"/>
      <c r="I31" s="735"/>
      <c r="J31" s="735"/>
      <c r="K31" s="735"/>
      <c r="L31" s="735"/>
      <c r="M31" s="735"/>
      <c r="N31" s="735"/>
      <c r="O31" s="736" t="str">
        <f>IF(NOT(QUOTE_Split_SoftwareHardware),QCalc!O11,QCalc!V11)</f>
        <v/>
      </c>
      <c r="P31" s="737"/>
      <c r="Q31" s="270"/>
      <c r="R31" s="271"/>
      <c r="T31" s="89"/>
      <c r="U31" s="78" t="str">
        <f>IF(AND(V31&gt;0,V31&lt;&gt;"",AND(LEFT(X31,7)&lt;&gt;"   • Wi",LEFT(X31,7)&lt;&gt;"   • XL")),COUNT($V$23:V31)-(SUMPRODUCT(--(LEFT($X$23:X31,7)="   • Wi"))+SUMPRODUCT(--(LEFT($X$23:X31,7)="   • XL")))+IF(NOT(QUOTE_Split_SoftwareHardware),MAX($B$23:$B$53),0),"")</f>
        <v/>
      </c>
      <c r="V31" s="87" t="str">
        <f>IF(IFERROR(SEARCH("% discount on",QCalc!$AE11),0)=0,
IF(NOT(QUOTE_Split_SoftwareHardware),QCalc!Q42,QCalc!AE11),"")</f>
        <v/>
      </c>
      <c r="W31" s="87" t="str">
        <f t="shared" si="5"/>
        <v/>
      </c>
      <c r="X31" s="735" t="str">
        <f>IF(IFERROR(SEARCH("% discount on",QCalc!$AE11),0)=0,
IF(NOT(QUOTE_Split_SoftwareHardware),QCalc!N42,QCalc!AB11),"")</f>
        <v/>
      </c>
      <c r="Y31" s="735"/>
      <c r="Z31" s="735"/>
      <c r="AA31" s="735"/>
      <c r="AB31" s="735"/>
      <c r="AC31" s="735"/>
      <c r="AD31" s="735"/>
      <c r="AE31" s="735"/>
      <c r="AF31" s="735"/>
      <c r="AG31" s="735"/>
      <c r="AH31" s="736" t="str">
        <f>IF(NOT(QUOTE_Split_SoftwareHardware),QCalc!O42,QCalc!AC11)</f>
        <v/>
      </c>
      <c r="AI31" s="737"/>
      <c r="AJ31" s="270"/>
      <c r="AK31" s="271"/>
    </row>
    <row r="32" spans="1:37" ht="11" customHeight="1" x14ac:dyDescent="0.2">
      <c r="A32" s="89"/>
      <c r="B32" s="78" t="str">
        <f>IF(AND(C32&gt;0,C32&lt;&gt;"",AND(LEFT(E32,7)&lt;&gt;"   • Wi",LEFT(E32,7)&lt;&gt;"   • XL")),COUNT($C$23:C32)-(SUMPRODUCT(--(LEFT($E$23:E32,7)="   • Wi"))+SUMPRODUCT(--(LEFT($E$23:E32,7)="   • XL"))),"")</f>
        <v/>
      </c>
      <c r="C32" s="87" t="str">
        <f>IF(IFERROR(SEARCH("% discount on",QCalc!$N12),0)=0,
IF(NOT(QUOTE_Split_SoftwareHardware),QCalc!Q12,QCalc!X12),"")</f>
        <v/>
      </c>
      <c r="D32" s="87" t="str">
        <f t="shared" si="4"/>
        <v/>
      </c>
      <c r="E32" s="734" t="str">
        <f>IF(IFERROR(SEARCH("% discount on",QCalc!$N12),0)=0,
IF(NOT(QUOTE_Split_SoftwareHardware),QCalc!N12,QCalc!U12),"")</f>
        <v/>
      </c>
      <c r="F32" s="735"/>
      <c r="G32" s="735"/>
      <c r="H32" s="735"/>
      <c r="I32" s="735"/>
      <c r="J32" s="735"/>
      <c r="K32" s="735"/>
      <c r="L32" s="735"/>
      <c r="M32" s="735"/>
      <c r="N32" s="735"/>
      <c r="O32" s="736" t="str">
        <f>IF(NOT(QUOTE_Split_SoftwareHardware),QCalc!O12,QCalc!V12)</f>
        <v/>
      </c>
      <c r="P32" s="737"/>
      <c r="Q32" s="270"/>
      <c r="R32" s="271"/>
      <c r="T32" s="89"/>
      <c r="U32" s="78" t="str">
        <f>IF(AND(V32&gt;0,V32&lt;&gt;"",AND(LEFT(X32,7)&lt;&gt;"   • Wi",LEFT(X32,7)&lt;&gt;"   • XL")),COUNT($V$23:V32)-(SUMPRODUCT(--(LEFT($X$23:X32,7)="   • Wi"))+SUMPRODUCT(--(LEFT($X$23:X32,7)="   • XL")))+IF(NOT(QUOTE_Split_SoftwareHardware),MAX($B$23:$B$53),0),"")</f>
        <v/>
      </c>
      <c r="V32" s="87" t="str">
        <f>IF(IFERROR(SEARCH("% discount on",QCalc!$AE12),0)=0,
IF(NOT(QUOTE_Split_SoftwareHardware),QCalc!Q43,QCalc!AE12),"")</f>
        <v/>
      </c>
      <c r="W32" s="87" t="str">
        <f t="shared" si="5"/>
        <v/>
      </c>
      <c r="X32" s="735" t="str">
        <f>IF(IFERROR(SEARCH("% discount on",QCalc!$AE12),0)=0,
IF(NOT(QUOTE_Split_SoftwareHardware),QCalc!N43,QCalc!AB12),"")</f>
        <v/>
      </c>
      <c r="Y32" s="735"/>
      <c r="Z32" s="735"/>
      <c r="AA32" s="735"/>
      <c r="AB32" s="735"/>
      <c r="AC32" s="735"/>
      <c r="AD32" s="735"/>
      <c r="AE32" s="735"/>
      <c r="AF32" s="735"/>
      <c r="AG32" s="735"/>
      <c r="AH32" s="736" t="str">
        <f>IF(NOT(QUOTE_Split_SoftwareHardware),QCalc!O43,QCalc!AC12)</f>
        <v/>
      </c>
      <c r="AI32" s="737"/>
      <c r="AJ32" s="270"/>
      <c r="AK32" s="271"/>
    </row>
    <row r="33" spans="1:37" ht="11" customHeight="1" x14ac:dyDescent="0.2">
      <c r="A33" s="89"/>
      <c r="B33" s="78" t="str">
        <f>IF(AND(C33&gt;0,C33&lt;&gt;"",AND(LEFT(E33,7)&lt;&gt;"   • Wi",LEFT(E33,7)&lt;&gt;"   • XL")),COUNT($C$23:C33)-(SUMPRODUCT(--(LEFT($E$23:E33,7)="   • Wi"))+SUMPRODUCT(--(LEFT($E$23:E33,7)="   • XL"))),"")</f>
        <v/>
      </c>
      <c r="C33" s="87" t="str">
        <f>IF(IFERROR(SEARCH("% discount on",QCalc!$N13),0)=0,
IF(NOT(QUOTE_Split_SoftwareHardware),QCalc!Q13,QCalc!X13),"")</f>
        <v/>
      </c>
      <c r="D33" s="87" t="str">
        <f t="shared" si="4"/>
        <v/>
      </c>
      <c r="E33" s="734" t="str">
        <f>IF(IFERROR(SEARCH("% discount on",QCalc!$N13),0)=0,
IF(NOT(QUOTE_Split_SoftwareHardware),QCalc!N13,QCalc!U13),"")</f>
        <v/>
      </c>
      <c r="F33" s="735"/>
      <c r="G33" s="735"/>
      <c r="H33" s="735"/>
      <c r="I33" s="735"/>
      <c r="J33" s="735"/>
      <c r="K33" s="735"/>
      <c r="L33" s="735"/>
      <c r="M33" s="735"/>
      <c r="N33" s="735"/>
      <c r="O33" s="736" t="str">
        <f>IF(NOT(QUOTE_Split_SoftwareHardware),QCalc!O13,QCalc!V13)</f>
        <v/>
      </c>
      <c r="P33" s="737"/>
      <c r="Q33" s="270"/>
      <c r="R33" s="271"/>
      <c r="T33" s="89"/>
      <c r="U33" s="78" t="str">
        <f>IF(AND(V33&gt;0,V33&lt;&gt;"",AND(LEFT(X33,7)&lt;&gt;"   • Wi",LEFT(X33,7)&lt;&gt;"   • XL")),COUNT($V$23:V33)-(SUMPRODUCT(--(LEFT($X$23:X33,7)="   • Wi"))+SUMPRODUCT(--(LEFT($X$23:X33,7)="   • XL")))+IF(NOT(QUOTE_Split_SoftwareHardware),MAX($B$23:$B$53),0),"")</f>
        <v/>
      </c>
      <c r="V33" s="87" t="str">
        <f>IF(IFERROR(SEARCH("% discount on",QCalc!$AE13),0)=0,
IF(NOT(QUOTE_Split_SoftwareHardware),QCalc!Q44,QCalc!AE13),"")</f>
        <v/>
      </c>
      <c r="W33" s="87" t="str">
        <f t="shared" si="5"/>
        <v/>
      </c>
      <c r="X33" s="735" t="str">
        <f>IF(IFERROR(SEARCH("% discount on",QCalc!$AE13),0)=0,
IF(NOT(QUOTE_Split_SoftwareHardware),QCalc!N44,QCalc!AB13),"")</f>
        <v/>
      </c>
      <c r="Y33" s="735"/>
      <c r="Z33" s="735"/>
      <c r="AA33" s="735"/>
      <c r="AB33" s="735"/>
      <c r="AC33" s="735"/>
      <c r="AD33" s="735"/>
      <c r="AE33" s="735"/>
      <c r="AF33" s="735"/>
      <c r="AG33" s="735"/>
      <c r="AH33" s="736" t="str">
        <f>IF(NOT(QUOTE_Split_SoftwareHardware),QCalc!O44,QCalc!AC13)</f>
        <v/>
      </c>
      <c r="AI33" s="737"/>
      <c r="AJ33" s="270"/>
      <c r="AK33" s="271"/>
    </row>
    <row r="34" spans="1:37" ht="11" customHeight="1" x14ac:dyDescent="0.2">
      <c r="A34" s="89"/>
      <c r="B34" s="78" t="str">
        <f>IF(AND(C34&gt;0,C34&lt;&gt;"",AND(LEFT(E34,7)&lt;&gt;"   • Wi",LEFT(E34,7)&lt;&gt;"   • XL")),COUNT($C$23:C34)-(SUMPRODUCT(--(LEFT($E$23:E34,7)="   • Wi"))+SUMPRODUCT(--(LEFT($E$23:E34,7)="   • XL"))),"")</f>
        <v/>
      </c>
      <c r="C34" s="87" t="str">
        <f>IF(IFERROR(SEARCH("% discount on",QCalc!$N14),0)=0,
IF(NOT(QUOTE_Split_SoftwareHardware),QCalc!Q14,QCalc!X14),"")</f>
        <v/>
      </c>
      <c r="D34" s="87" t="str">
        <f t="shared" si="4"/>
        <v/>
      </c>
      <c r="E34" s="734" t="str">
        <f>IF(IFERROR(SEARCH("% discount on",QCalc!$N14),0)=0,
IF(NOT(QUOTE_Split_SoftwareHardware),QCalc!N14,QCalc!U14),"")</f>
        <v/>
      </c>
      <c r="F34" s="735"/>
      <c r="G34" s="735"/>
      <c r="H34" s="735"/>
      <c r="I34" s="735"/>
      <c r="J34" s="735"/>
      <c r="K34" s="735"/>
      <c r="L34" s="735"/>
      <c r="M34" s="735"/>
      <c r="N34" s="735"/>
      <c r="O34" s="736" t="str">
        <f>IF(NOT(QUOTE_Split_SoftwareHardware),QCalc!O14,QCalc!V14)</f>
        <v/>
      </c>
      <c r="P34" s="737"/>
      <c r="Q34" s="270"/>
      <c r="R34" s="271"/>
      <c r="T34" s="89"/>
      <c r="U34" s="78" t="str">
        <f>IF(AND(V34&gt;0,V34&lt;&gt;"",AND(LEFT(X34,7)&lt;&gt;"   • Wi",LEFT(X34,7)&lt;&gt;"   • XL")),COUNT($V$23:V34)-(SUMPRODUCT(--(LEFT($X$23:X34,7)="   • Wi"))+SUMPRODUCT(--(LEFT($X$23:X34,7)="   • XL")))+IF(NOT(QUOTE_Split_SoftwareHardware),MAX($B$23:$B$53),0),"")</f>
        <v/>
      </c>
      <c r="V34" s="87" t="str">
        <f>IF(IFERROR(SEARCH("% discount on",QCalc!$AE14),0)=0,
IF(NOT(QUOTE_Split_SoftwareHardware),QCalc!Q45,QCalc!AE14),"")</f>
        <v/>
      </c>
      <c r="W34" s="87" t="str">
        <f t="shared" si="5"/>
        <v/>
      </c>
      <c r="X34" s="735" t="str">
        <f>IF(IFERROR(SEARCH("% discount on",QCalc!$AE14),0)=0,
IF(NOT(QUOTE_Split_SoftwareHardware),QCalc!N45,QCalc!AB14),"")</f>
        <v/>
      </c>
      <c r="Y34" s="735"/>
      <c r="Z34" s="735"/>
      <c r="AA34" s="735"/>
      <c r="AB34" s="735"/>
      <c r="AC34" s="735"/>
      <c r="AD34" s="735"/>
      <c r="AE34" s="735"/>
      <c r="AF34" s="735"/>
      <c r="AG34" s="735"/>
      <c r="AH34" s="736" t="str">
        <f>IF(NOT(QUOTE_Split_SoftwareHardware),QCalc!O45,QCalc!AC14)</f>
        <v/>
      </c>
      <c r="AI34" s="737"/>
      <c r="AJ34" s="270"/>
      <c r="AK34" s="271"/>
    </row>
    <row r="35" spans="1:37" ht="11" customHeight="1" x14ac:dyDescent="0.2">
      <c r="A35" s="89"/>
      <c r="B35" s="78" t="str">
        <f>IF(AND(C35&gt;0,C35&lt;&gt;"",AND(LEFT(E35,7)&lt;&gt;"   • Wi",LEFT(E35,7)&lt;&gt;"   • XL")),COUNT($C$23:C35)-(SUMPRODUCT(--(LEFT($E$23:E35,7)="   • Wi"))+SUMPRODUCT(--(LEFT($E$23:E35,7)="   • XL"))),"")</f>
        <v/>
      </c>
      <c r="C35" s="87" t="str">
        <f>IF(IFERROR(SEARCH("% discount on",QCalc!$N15),0)=0,
IF(NOT(QUOTE_Split_SoftwareHardware),QCalc!Q15,QCalc!X15),"")</f>
        <v/>
      </c>
      <c r="D35" s="87" t="str">
        <f t="shared" si="4"/>
        <v/>
      </c>
      <c r="E35" s="734" t="str">
        <f>IF(IFERROR(SEARCH("% discount on",QCalc!$N15),0)=0,
IF(NOT(QUOTE_Split_SoftwareHardware),QCalc!N15,QCalc!U15),"")</f>
        <v/>
      </c>
      <c r="F35" s="735"/>
      <c r="G35" s="735"/>
      <c r="H35" s="735"/>
      <c r="I35" s="735"/>
      <c r="J35" s="735"/>
      <c r="K35" s="735"/>
      <c r="L35" s="735"/>
      <c r="M35" s="735"/>
      <c r="N35" s="735"/>
      <c r="O35" s="736" t="str">
        <f>IF(NOT(QUOTE_Split_SoftwareHardware),QCalc!O15,QCalc!V15)</f>
        <v/>
      </c>
      <c r="P35" s="737"/>
      <c r="Q35" s="270"/>
      <c r="R35" s="271"/>
      <c r="T35" s="89"/>
      <c r="U35" s="78" t="str">
        <f>IF(AND(V35&gt;0,V35&lt;&gt;"",AND(LEFT(X35,7)&lt;&gt;"   • Wi",LEFT(X35,7)&lt;&gt;"   • XL")),COUNT($V$23:V35)-(SUMPRODUCT(--(LEFT($X$23:X35,7)="   • Wi"))+SUMPRODUCT(--(LEFT($X$23:X35,7)="   • XL")))+IF(NOT(QUOTE_Split_SoftwareHardware),MAX($B$23:$B$53),0),"")</f>
        <v/>
      </c>
      <c r="V35" s="87" t="str">
        <f>IF(IFERROR(SEARCH("% discount on",QCalc!$AE15),0)=0,
IF(NOT(QUOTE_Split_SoftwareHardware),QCalc!Q46,QCalc!AE15),"")</f>
        <v/>
      </c>
      <c r="W35" s="87" t="str">
        <f t="shared" si="5"/>
        <v/>
      </c>
      <c r="X35" s="735" t="str">
        <f>IF(IFERROR(SEARCH("% discount on",QCalc!$AE15),0)=0,
IF(NOT(QUOTE_Split_SoftwareHardware),QCalc!N46,QCalc!AB15),"")</f>
        <v/>
      </c>
      <c r="Y35" s="735"/>
      <c r="Z35" s="735"/>
      <c r="AA35" s="735"/>
      <c r="AB35" s="735"/>
      <c r="AC35" s="735"/>
      <c r="AD35" s="735"/>
      <c r="AE35" s="735"/>
      <c r="AF35" s="735"/>
      <c r="AG35" s="735"/>
      <c r="AH35" s="736" t="str">
        <f>IF(NOT(QUOTE_Split_SoftwareHardware),QCalc!O46,QCalc!AC15)</f>
        <v/>
      </c>
      <c r="AI35" s="737"/>
      <c r="AJ35" s="270"/>
      <c r="AK35" s="271"/>
    </row>
    <row r="36" spans="1:37" ht="11" customHeight="1" x14ac:dyDescent="0.2">
      <c r="A36" s="89"/>
      <c r="B36" s="78" t="str">
        <f>IF(AND(C36&gt;0,C36&lt;&gt;"",AND(LEFT(E36,7)&lt;&gt;"   • Wi",LEFT(E36,7)&lt;&gt;"   • XL")),COUNT($C$23:C36)-(SUMPRODUCT(--(LEFT($E$23:E36,7)="   • Wi"))+SUMPRODUCT(--(LEFT($E$23:E36,7)="   • XL"))),"")</f>
        <v/>
      </c>
      <c r="C36" s="87" t="str">
        <f>IF(IFERROR(SEARCH("% discount on",QCalc!$N16),0)=0,
IF(NOT(QUOTE_Split_SoftwareHardware),QCalc!Q16,QCalc!X16),"")</f>
        <v/>
      </c>
      <c r="D36" s="87" t="str">
        <f t="shared" si="4"/>
        <v/>
      </c>
      <c r="E36" s="734" t="str">
        <f>IF(IFERROR(SEARCH("% discount on",QCalc!$N16),0)=0,
IF(NOT(QUOTE_Split_SoftwareHardware),QCalc!N16,QCalc!U16),"")</f>
        <v/>
      </c>
      <c r="F36" s="735"/>
      <c r="G36" s="735"/>
      <c r="H36" s="735"/>
      <c r="I36" s="735"/>
      <c r="J36" s="735"/>
      <c r="K36" s="735"/>
      <c r="L36" s="735"/>
      <c r="M36" s="735"/>
      <c r="N36" s="735"/>
      <c r="O36" s="736" t="str">
        <f>IF(NOT(QUOTE_Split_SoftwareHardware),QCalc!O16,QCalc!V16)</f>
        <v/>
      </c>
      <c r="P36" s="737"/>
      <c r="Q36" s="270"/>
      <c r="R36" s="271"/>
      <c r="T36" s="89"/>
      <c r="U36" s="78" t="str">
        <f>IF(AND(V36&gt;0,V36&lt;&gt;"",AND(LEFT(X36,7)&lt;&gt;"   • Wi",LEFT(X36,7)&lt;&gt;"   • XL")),COUNT($V$23:V36)-(SUMPRODUCT(--(LEFT($X$23:X36,7)="   • Wi"))+SUMPRODUCT(--(LEFT($X$23:X36,7)="   • XL")))+IF(NOT(QUOTE_Split_SoftwareHardware),MAX($B$23:$B$53),0),"")</f>
        <v/>
      </c>
      <c r="V36" s="87" t="str">
        <f>IF(IFERROR(SEARCH("% discount on",QCalc!$AE16),0)=0,
IF(NOT(QUOTE_Split_SoftwareHardware),QCalc!Q47,QCalc!AE16),"")</f>
        <v/>
      </c>
      <c r="W36" s="87" t="str">
        <f t="shared" si="5"/>
        <v/>
      </c>
      <c r="X36" s="735" t="str">
        <f>IF(IFERROR(SEARCH("% discount on",QCalc!$AE16),0)=0,
IF(NOT(QUOTE_Split_SoftwareHardware),QCalc!N47,QCalc!AB16),"")</f>
        <v/>
      </c>
      <c r="Y36" s="735"/>
      <c r="Z36" s="735"/>
      <c r="AA36" s="735"/>
      <c r="AB36" s="735"/>
      <c r="AC36" s="735"/>
      <c r="AD36" s="735"/>
      <c r="AE36" s="735"/>
      <c r="AF36" s="735"/>
      <c r="AG36" s="735"/>
      <c r="AH36" s="736" t="str">
        <f>IF(NOT(QUOTE_Split_SoftwareHardware),QCalc!O47,QCalc!AC16)</f>
        <v/>
      </c>
      <c r="AI36" s="737"/>
      <c r="AJ36" s="270"/>
      <c r="AK36" s="271"/>
    </row>
    <row r="37" spans="1:37" ht="11" customHeight="1" x14ac:dyDescent="0.2">
      <c r="A37" s="89"/>
      <c r="B37" s="78" t="str">
        <f>IF(AND(C37&gt;0,C37&lt;&gt;"",AND(LEFT(E37,7)&lt;&gt;"   • Wi",LEFT(E37,7)&lt;&gt;"   • XL")),COUNT($C$23:C37)-(SUMPRODUCT(--(LEFT($E$23:E37,7)="   • Wi"))+SUMPRODUCT(--(LEFT($E$23:E37,7)="   • XL"))),"")</f>
        <v/>
      </c>
      <c r="C37" s="87" t="str">
        <f>IF(IFERROR(SEARCH("% discount on",QCalc!$N17),0)=0,
IF(NOT(QUOTE_Split_SoftwareHardware),QCalc!Q17,QCalc!X17),"")</f>
        <v/>
      </c>
      <c r="D37" s="87" t="str">
        <f t="shared" si="4"/>
        <v/>
      </c>
      <c r="E37" s="734" t="str">
        <f>IF(IFERROR(SEARCH("% discount on",QCalc!$N17),0)=0,
IF(NOT(QUOTE_Split_SoftwareHardware),QCalc!N17,QCalc!U17),"")</f>
        <v/>
      </c>
      <c r="F37" s="735"/>
      <c r="G37" s="735"/>
      <c r="H37" s="735"/>
      <c r="I37" s="735"/>
      <c r="J37" s="735"/>
      <c r="K37" s="735"/>
      <c r="L37" s="735"/>
      <c r="M37" s="735"/>
      <c r="N37" s="735"/>
      <c r="O37" s="736" t="str">
        <f>IF(NOT(QUOTE_Split_SoftwareHardware),QCalc!O17,QCalc!V17)</f>
        <v/>
      </c>
      <c r="P37" s="737"/>
      <c r="Q37" s="270"/>
      <c r="R37" s="271"/>
      <c r="T37" s="89"/>
      <c r="U37" s="78" t="str">
        <f>IF(AND(V37&gt;0,V37&lt;&gt;"",AND(LEFT(X37,7)&lt;&gt;"   • Wi",LEFT(X37,7)&lt;&gt;"   • XL")),COUNT($V$23:V37)-(SUMPRODUCT(--(LEFT($X$23:X37,7)="   • Wi"))+SUMPRODUCT(--(LEFT($X$23:X37,7)="   • XL")))+IF(NOT(QUOTE_Split_SoftwareHardware),MAX($B$23:$B$53),0),"")</f>
        <v/>
      </c>
      <c r="V37" s="87" t="str">
        <f>IF(IFERROR(SEARCH("% discount on",QCalc!$AE17),0)=0,
IF(NOT(QUOTE_Split_SoftwareHardware),QCalc!Q48,QCalc!AE17),"")</f>
        <v/>
      </c>
      <c r="W37" s="87" t="str">
        <f t="shared" si="5"/>
        <v/>
      </c>
      <c r="X37" s="735" t="str">
        <f>IF(IFERROR(SEARCH("% discount on",QCalc!$AE17),0)=0,
IF(NOT(QUOTE_Split_SoftwareHardware),QCalc!N48,QCalc!AB17),"")</f>
        <v/>
      </c>
      <c r="Y37" s="735"/>
      <c r="Z37" s="735"/>
      <c r="AA37" s="735"/>
      <c r="AB37" s="735"/>
      <c r="AC37" s="735"/>
      <c r="AD37" s="735"/>
      <c r="AE37" s="735"/>
      <c r="AF37" s="735"/>
      <c r="AG37" s="735"/>
      <c r="AH37" s="736" t="str">
        <f>IF(NOT(QUOTE_Split_SoftwareHardware),QCalc!O48,QCalc!AC17)</f>
        <v/>
      </c>
      <c r="AI37" s="737"/>
      <c r="AJ37" s="270"/>
      <c r="AK37" s="271"/>
    </row>
    <row r="38" spans="1:37" ht="11" customHeight="1" x14ac:dyDescent="0.2">
      <c r="A38" s="89"/>
      <c r="B38" s="78" t="str">
        <f>IF(AND(C38&gt;0,C38&lt;&gt;"",AND(LEFT(E38,7)&lt;&gt;"   • Wi",LEFT(E38,7)&lt;&gt;"   • XL")),COUNT($C$23:C38)-(SUMPRODUCT(--(LEFT($E$23:E38,7)="   • Wi"))+SUMPRODUCT(--(LEFT($E$23:E38,7)="   • XL"))),"")</f>
        <v/>
      </c>
      <c r="C38" s="87" t="str">
        <f>IF(IFERROR(SEARCH("% discount on",QCalc!$N18),0)=0,
IF(NOT(QUOTE_Split_SoftwareHardware),QCalc!Q18,QCalc!X18),"")</f>
        <v/>
      </c>
      <c r="D38" s="87" t="str">
        <f t="shared" si="4"/>
        <v/>
      </c>
      <c r="E38" s="734" t="str">
        <f>IF(IFERROR(SEARCH("% discount on",QCalc!$N18),0)=0,
IF(NOT(QUOTE_Split_SoftwareHardware),QCalc!N18,QCalc!U18),"")</f>
        <v/>
      </c>
      <c r="F38" s="735"/>
      <c r="G38" s="735"/>
      <c r="H38" s="735"/>
      <c r="I38" s="735"/>
      <c r="J38" s="735"/>
      <c r="K38" s="735"/>
      <c r="L38" s="735"/>
      <c r="M38" s="735"/>
      <c r="N38" s="735"/>
      <c r="O38" s="736" t="str">
        <f>IF(NOT(QUOTE_Split_SoftwareHardware),QCalc!O18,QCalc!V18)</f>
        <v/>
      </c>
      <c r="P38" s="737"/>
      <c r="Q38" s="270"/>
      <c r="R38" s="271"/>
      <c r="T38" s="89"/>
      <c r="U38" s="78" t="str">
        <f>IF(AND(V38&gt;0,V38&lt;&gt;"",AND(LEFT(X38,7)&lt;&gt;"   • Wi",LEFT(X38,7)&lt;&gt;"   • XL")),COUNT($V$23:V38)-(SUMPRODUCT(--(LEFT($X$23:X38,7)="   • Wi"))+SUMPRODUCT(--(LEFT($X$23:X38,7)="   • XL")))+IF(NOT(QUOTE_Split_SoftwareHardware),MAX($B$23:$B$53),0),"")</f>
        <v/>
      </c>
      <c r="V38" s="87" t="str">
        <f>IF(IFERROR(SEARCH("% discount on",QCalc!$AE18),0)=0,
IF(NOT(QUOTE_Split_SoftwareHardware),QCalc!Q49,QCalc!AE18),"")</f>
        <v/>
      </c>
      <c r="W38" s="87" t="str">
        <f t="shared" si="5"/>
        <v/>
      </c>
      <c r="X38" s="735" t="str">
        <f>IF(IFERROR(SEARCH("% discount on",QCalc!$AE18),0)=0,
IF(NOT(QUOTE_Split_SoftwareHardware),QCalc!N49,QCalc!AB18),"")</f>
        <v/>
      </c>
      <c r="Y38" s="735"/>
      <c r="Z38" s="735"/>
      <c r="AA38" s="735"/>
      <c r="AB38" s="735"/>
      <c r="AC38" s="735"/>
      <c r="AD38" s="735"/>
      <c r="AE38" s="735"/>
      <c r="AF38" s="735"/>
      <c r="AG38" s="735"/>
      <c r="AH38" s="736" t="str">
        <f>IF(NOT(QUOTE_Split_SoftwareHardware),QCalc!O49,QCalc!AC18)</f>
        <v/>
      </c>
      <c r="AI38" s="737"/>
      <c r="AJ38" s="270"/>
      <c r="AK38" s="271"/>
    </row>
    <row r="39" spans="1:37" ht="11" customHeight="1" x14ac:dyDescent="0.2">
      <c r="A39" s="89"/>
      <c r="B39" s="78" t="str">
        <f>IF(AND(C39&gt;0,C39&lt;&gt;"",AND(LEFT(E39,7)&lt;&gt;"   • Wi",LEFT(E39,7)&lt;&gt;"   • XL")),COUNT($C$23:C39)-(SUMPRODUCT(--(LEFT($E$23:E39,7)="   • Wi"))+SUMPRODUCT(--(LEFT($E$23:E39,7)="   • XL"))),"")</f>
        <v/>
      </c>
      <c r="C39" s="87" t="str">
        <f>IF(IFERROR(SEARCH("% discount on",QCalc!$N19),0)=0,
IF(NOT(QUOTE_Split_SoftwareHardware),QCalc!Q19,QCalc!X19),"")</f>
        <v/>
      </c>
      <c r="D39" s="87" t="str">
        <f t="shared" si="4"/>
        <v/>
      </c>
      <c r="E39" s="734" t="str">
        <f>IF(IFERROR(SEARCH("% discount on",QCalc!$N19),0)=0,
IF(NOT(QUOTE_Split_SoftwareHardware),QCalc!N19,QCalc!U19),"")</f>
        <v/>
      </c>
      <c r="F39" s="735"/>
      <c r="G39" s="735"/>
      <c r="H39" s="735"/>
      <c r="I39" s="735"/>
      <c r="J39" s="735"/>
      <c r="K39" s="735"/>
      <c r="L39" s="735"/>
      <c r="M39" s="735"/>
      <c r="N39" s="735"/>
      <c r="O39" s="736" t="str">
        <f>IF(NOT(QUOTE_Split_SoftwareHardware),QCalc!O19,QCalc!V19)</f>
        <v/>
      </c>
      <c r="P39" s="737"/>
      <c r="Q39" s="270"/>
      <c r="R39" s="271"/>
      <c r="T39" s="89"/>
      <c r="U39" s="78" t="str">
        <f>IF(AND(V39&gt;0,V39&lt;&gt;"",AND(LEFT(X39,7)&lt;&gt;"   • Wi",LEFT(X39,7)&lt;&gt;"   • XL")),COUNT($V$23:V39)-(SUMPRODUCT(--(LEFT($X$23:X39,7)="   • Wi"))+SUMPRODUCT(--(LEFT($X$23:X39,7)="   • XL")))+IF(NOT(QUOTE_Split_SoftwareHardware),MAX($B$23:$B$53),0),"")</f>
        <v/>
      </c>
      <c r="V39" s="87" t="str">
        <f>IF(IFERROR(SEARCH("% discount on",QCalc!$AE19),0)=0,
IF(NOT(QUOTE_Split_SoftwareHardware),QCalc!Q50,QCalc!AE19),"")</f>
        <v/>
      </c>
      <c r="W39" s="87" t="str">
        <f t="shared" si="5"/>
        <v/>
      </c>
      <c r="X39" s="735" t="str">
        <f>IF(IFERROR(SEARCH("% discount on",QCalc!$AE19),0)=0,
IF(NOT(QUOTE_Split_SoftwareHardware),QCalc!N50,QCalc!AB19),"")</f>
        <v/>
      </c>
      <c r="Y39" s="735"/>
      <c r="Z39" s="735"/>
      <c r="AA39" s="735"/>
      <c r="AB39" s="735"/>
      <c r="AC39" s="735"/>
      <c r="AD39" s="735"/>
      <c r="AE39" s="735"/>
      <c r="AF39" s="735"/>
      <c r="AG39" s="735"/>
      <c r="AH39" s="736" t="str">
        <f>IF(NOT(QUOTE_Split_SoftwareHardware),QCalc!O50,QCalc!AC19)</f>
        <v/>
      </c>
      <c r="AI39" s="737"/>
      <c r="AJ39" s="270"/>
      <c r="AK39" s="271"/>
    </row>
    <row r="40" spans="1:37" ht="11" customHeight="1" x14ac:dyDescent="0.2">
      <c r="A40" s="89"/>
      <c r="B40" s="78" t="str">
        <f>IF(AND(C40&gt;0,C40&lt;&gt;"",AND(LEFT(E40,7)&lt;&gt;"   • Wi",LEFT(E40,7)&lt;&gt;"   • XL")),COUNT($C$23:C40)-(SUMPRODUCT(--(LEFT($E$23:E40,7)="   • Wi"))+SUMPRODUCT(--(LEFT($E$23:E40,7)="   • XL"))),"")</f>
        <v/>
      </c>
      <c r="C40" s="87" t="str">
        <f>IF(IFERROR(SEARCH("% discount on",QCalc!$N20),0)=0,
IF(NOT(QUOTE_Split_SoftwareHardware),QCalc!Q20,QCalc!X20),"")</f>
        <v/>
      </c>
      <c r="D40" s="87" t="str">
        <f t="shared" si="4"/>
        <v/>
      </c>
      <c r="E40" s="734" t="str">
        <f>IF(IFERROR(SEARCH("% discount on",QCalc!$N20),0)=0,
IF(NOT(QUOTE_Split_SoftwareHardware),QCalc!N20,QCalc!U20),"")</f>
        <v/>
      </c>
      <c r="F40" s="735"/>
      <c r="G40" s="735"/>
      <c r="H40" s="735"/>
      <c r="I40" s="735"/>
      <c r="J40" s="735"/>
      <c r="K40" s="735"/>
      <c r="L40" s="735"/>
      <c r="M40" s="735"/>
      <c r="N40" s="735"/>
      <c r="O40" s="736" t="str">
        <f>IF(NOT(QUOTE_Split_SoftwareHardware),QCalc!O20,QCalc!V20)</f>
        <v/>
      </c>
      <c r="P40" s="737"/>
      <c r="Q40" s="270"/>
      <c r="R40" s="271"/>
      <c r="T40" s="89"/>
      <c r="U40" s="78" t="str">
        <f>IF(AND(V40&gt;0,V40&lt;&gt;"",AND(LEFT(X40,7)&lt;&gt;"   • Wi",LEFT(X40,7)&lt;&gt;"   • XL")),COUNT($V$23:V40)-(SUMPRODUCT(--(LEFT($X$23:X40,7)="   • Wi"))+SUMPRODUCT(--(LEFT($X$23:X40,7)="   • XL")))+IF(NOT(QUOTE_Split_SoftwareHardware),MAX($B$23:$B$53),0),"")</f>
        <v/>
      </c>
      <c r="V40" s="87" t="str">
        <f>IF(IFERROR(SEARCH("% discount on",QCalc!$AE20),0)=0,
IF(NOT(QUOTE_Split_SoftwareHardware),QCalc!Q51,QCalc!AE20),"")</f>
        <v/>
      </c>
      <c r="W40" s="87" t="str">
        <f t="shared" si="5"/>
        <v/>
      </c>
      <c r="X40" s="735" t="str">
        <f>IF(IFERROR(SEARCH("% discount on",QCalc!$AE20),0)=0,
IF(NOT(QUOTE_Split_SoftwareHardware),QCalc!N51,QCalc!AB20),"")</f>
        <v/>
      </c>
      <c r="Y40" s="735"/>
      <c r="Z40" s="735"/>
      <c r="AA40" s="735"/>
      <c r="AB40" s="735"/>
      <c r="AC40" s="735"/>
      <c r="AD40" s="735"/>
      <c r="AE40" s="735"/>
      <c r="AF40" s="735"/>
      <c r="AG40" s="735"/>
      <c r="AH40" s="736" t="str">
        <f>IF(NOT(QUOTE_Split_SoftwareHardware),QCalc!O51,QCalc!AC20)</f>
        <v/>
      </c>
      <c r="AI40" s="737"/>
      <c r="AJ40" s="270"/>
      <c r="AK40" s="271"/>
    </row>
    <row r="41" spans="1:37" ht="11" customHeight="1" x14ac:dyDescent="0.2">
      <c r="A41" s="89"/>
      <c r="B41" s="78" t="str">
        <f>IF(AND(C41&gt;0,C41&lt;&gt;"",AND(LEFT(E41,7)&lt;&gt;"   • Wi",LEFT(E41,7)&lt;&gt;"   • XL")),COUNT($C$23:C41)-(SUMPRODUCT(--(LEFT($E$23:E41,7)="   • Wi"))+SUMPRODUCT(--(LEFT($E$23:E41,7)="   • XL"))),"")</f>
        <v/>
      </c>
      <c r="C41" s="87" t="str">
        <f>IF(IFERROR(SEARCH("% discount on",QCalc!$N21),0)=0,
IF(NOT(QUOTE_Split_SoftwareHardware),QCalc!Q21,QCalc!X21),"")</f>
        <v/>
      </c>
      <c r="D41" s="87" t="str">
        <f t="shared" si="4"/>
        <v/>
      </c>
      <c r="E41" s="734" t="str">
        <f>IF(IFERROR(SEARCH("% discount on",QCalc!$N21),0)=0,
IF(NOT(QUOTE_Split_SoftwareHardware),QCalc!N21,QCalc!U21),"")</f>
        <v/>
      </c>
      <c r="F41" s="735"/>
      <c r="G41" s="735"/>
      <c r="H41" s="735"/>
      <c r="I41" s="735"/>
      <c r="J41" s="735"/>
      <c r="K41" s="735"/>
      <c r="L41" s="735"/>
      <c r="M41" s="735"/>
      <c r="N41" s="735"/>
      <c r="O41" s="736" t="str">
        <f>IF(NOT(QUOTE_Split_SoftwareHardware),QCalc!O21,QCalc!V21)</f>
        <v/>
      </c>
      <c r="P41" s="737"/>
      <c r="Q41" s="270"/>
      <c r="R41" s="271"/>
      <c r="T41" s="89"/>
      <c r="U41" s="78" t="str">
        <f>IF(AND(V41&gt;0,V41&lt;&gt;"",AND(LEFT(X41,7)&lt;&gt;"   • Wi",LEFT(X41,7)&lt;&gt;"   • XL")),COUNT($V$23:V41)-(SUMPRODUCT(--(LEFT($X$23:X41,7)="   • Wi"))+SUMPRODUCT(--(LEFT($X$23:X41,7)="   • XL")))+IF(NOT(QUOTE_Split_SoftwareHardware),MAX($B$23:$B$53),0),"")</f>
        <v/>
      </c>
      <c r="V41" s="87" t="str">
        <f>IF(IFERROR(SEARCH("% discount on",QCalc!$AE21),0)=0,
IF(NOT(QUOTE_Split_SoftwareHardware),QCalc!Q52,QCalc!AE21),"")</f>
        <v/>
      </c>
      <c r="W41" s="87" t="str">
        <f t="shared" si="5"/>
        <v/>
      </c>
      <c r="X41" s="735" t="str">
        <f>IF(IFERROR(SEARCH("% discount on",QCalc!$AE21),0)=0,
IF(NOT(QUOTE_Split_SoftwareHardware),QCalc!N52,QCalc!AB21),"")</f>
        <v/>
      </c>
      <c r="Y41" s="735"/>
      <c r="Z41" s="735"/>
      <c r="AA41" s="735"/>
      <c r="AB41" s="735"/>
      <c r="AC41" s="735"/>
      <c r="AD41" s="735"/>
      <c r="AE41" s="735"/>
      <c r="AF41" s="735"/>
      <c r="AG41" s="735"/>
      <c r="AH41" s="736" t="str">
        <f>IF(NOT(QUOTE_Split_SoftwareHardware),QCalc!O52,QCalc!AC21)</f>
        <v/>
      </c>
      <c r="AI41" s="737"/>
      <c r="AJ41" s="270"/>
      <c r="AK41" s="271"/>
    </row>
    <row r="42" spans="1:37" ht="11" customHeight="1" x14ac:dyDescent="0.2">
      <c r="A42" s="89"/>
      <c r="B42" s="78" t="str">
        <f>IF(AND(C42&gt;0,C42&lt;&gt;"",AND(LEFT(E42,7)&lt;&gt;"   • Wi",LEFT(E42,7)&lt;&gt;"   • XL")),COUNT($C$23:C42)-(SUMPRODUCT(--(LEFT($E$23:E42,7)="   • Wi"))+SUMPRODUCT(--(LEFT($E$23:E42,7)="   • XL"))),"")</f>
        <v/>
      </c>
      <c r="C42" s="87" t="str">
        <f>IF(IFERROR(SEARCH("% discount on",QCalc!$N22),0)=0,
IF(NOT(QUOTE_Split_SoftwareHardware),QCalc!Q22,QCalc!X22),"")</f>
        <v/>
      </c>
      <c r="D42" s="87" t="str">
        <f t="shared" si="4"/>
        <v/>
      </c>
      <c r="E42" s="734" t="str">
        <f>IF(IFERROR(SEARCH("% discount on",QCalc!$N22),0)=0,
IF(NOT(QUOTE_Split_SoftwareHardware),QCalc!N22,QCalc!U22),"")</f>
        <v/>
      </c>
      <c r="F42" s="735"/>
      <c r="G42" s="735"/>
      <c r="H42" s="735"/>
      <c r="I42" s="735"/>
      <c r="J42" s="735"/>
      <c r="K42" s="735"/>
      <c r="L42" s="735"/>
      <c r="M42" s="735"/>
      <c r="N42" s="735"/>
      <c r="O42" s="736" t="str">
        <f>IF(NOT(QUOTE_Split_SoftwareHardware),QCalc!O22,QCalc!V22)</f>
        <v/>
      </c>
      <c r="P42" s="737"/>
      <c r="Q42" s="270"/>
      <c r="R42" s="271"/>
      <c r="T42" s="89"/>
      <c r="U42" s="78" t="str">
        <f>IF(AND(V42&gt;0,V42&lt;&gt;"",AND(LEFT(X42,7)&lt;&gt;"   • Wi",LEFT(X42,7)&lt;&gt;"   • XL")),COUNT($V$23:V42)-(SUMPRODUCT(--(LEFT($X$23:X42,7)="   • Wi"))+SUMPRODUCT(--(LEFT($X$23:X42,7)="   • XL")))+IF(NOT(QUOTE_Split_SoftwareHardware),MAX($B$23:$B$53),0),"")</f>
        <v/>
      </c>
      <c r="V42" s="87" t="str">
        <f>IF(IFERROR(SEARCH("% discount on",QCalc!$AE22),0)=0,
IF(NOT(QUOTE_Split_SoftwareHardware),QCalc!Q53,QCalc!AE22),"")</f>
        <v/>
      </c>
      <c r="W42" s="87" t="str">
        <f t="shared" si="5"/>
        <v/>
      </c>
      <c r="X42" s="735" t="str">
        <f>IF(IFERROR(SEARCH("% discount on",QCalc!$AE22),0)=0,
IF(NOT(QUOTE_Split_SoftwareHardware),QCalc!N53,QCalc!AB22),"")</f>
        <v/>
      </c>
      <c r="Y42" s="735"/>
      <c r="Z42" s="735"/>
      <c r="AA42" s="735"/>
      <c r="AB42" s="735"/>
      <c r="AC42" s="735"/>
      <c r="AD42" s="735"/>
      <c r="AE42" s="735"/>
      <c r="AF42" s="735"/>
      <c r="AG42" s="735"/>
      <c r="AH42" s="736" t="str">
        <f>IF(NOT(QUOTE_Split_SoftwareHardware),QCalc!O53,QCalc!AC22)</f>
        <v/>
      </c>
      <c r="AI42" s="737"/>
      <c r="AJ42" s="270"/>
      <c r="AK42" s="271"/>
    </row>
    <row r="43" spans="1:37" ht="11" customHeight="1" x14ac:dyDescent="0.2">
      <c r="A43" s="89"/>
      <c r="B43" s="78" t="str">
        <f>IF(AND(C43&gt;0,C43&lt;&gt;"",AND(LEFT(E43,7)&lt;&gt;"   • Wi",LEFT(E43,7)&lt;&gt;"   • XL")),COUNT($C$23:C43)-(SUMPRODUCT(--(LEFT($E$23:E43,7)="   • Wi"))+SUMPRODUCT(--(LEFT($E$23:E43,7)="   • XL"))),"")</f>
        <v/>
      </c>
      <c r="C43" s="87" t="str">
        <f>IF(IFERROR(SEARCH("% discount on",QCalc!$N23),0)=0,
IF(NOT(QUOTE_Split_SoftwareHardware),QCalc!Q23,QCalc!X23),"")</f>
        <v/>
      </c>
      <c r="D43" s="87" t="str">
        <f t="shared" si="4"/>
        <v/>
      </c>
      <c r="E43" s="734" t="str">
        <f>IF(IFERROR(SEARCH("% discount on",QCalc!$N23),0)=0,
IF(NOT(QUOTE_Split_SoftwareHardware),QCalc!N23,QCalc!U23),"")</f>
        <v/>
      </c>
      <c r="F43" s="735"/>
      <c r="G43" s="735"/>
      <c r="H43" s="735"/>
      <c r="I43" s="735"/>
      <c r="J43" s="735"/>
      <c r="K43" s="735"/>
      <c r="L43" s="735"/>
      <c r="M43" s="735"/>
      <c r="N43" s="735"/>
      <c r="O43" s="736" t="str">
        <f>IF(NOT(QUOTE_Split_SoftwareHardware),QCalc!O23,QCalc!V23)</f>
        <v/>
      </c>
      <c r="P43" s="737"/>
      <c r="Q43" s="270"/>
      <c r="R43" s="271"/>
      <c r="T43" s="89"/>
      <c r="U43" s="78" t="str">
        <f>IF(AND(V43&gt;0,V43&lt;&gt;"",AND(LEFT(X43,7)&lt;&gt;"   • Wi",LEFT(X43,7)&lt;&gt;"   • XL")),COUNT($V$23:V43)-(SUMPRODUCT(--(LEFT($X$23:X43,7)="   • Wi"))+SUMPRODUCT(--(LEFT($X$23:X43,7)="   • XL")))+IF(NOT(QUOTE_Split_SoftwareHardware),MAX($B$23:$B$53),0),"")</f>
        <v/>
      </c>
      <c r="V43" s="87" t="str">
        <f>IF(IFERROR(SEARCH("% discount on",QCalc!$AE23),0)=0,
IF(NOT(QUOTE_Split_SoftwareHardware),QCalc!Q54,QCalc!AE23),"")</f>
        <v/>
      </c>
      <c r="W43" s="87" t="str">
        <f t="shared" si="5"/>
        <v/>
      </c>
      <c r="X43" s="735" t="str">
        <f>IF(IFERROR(SEARCH("% discount on",QCalc!$AE23),0)=0,
IF(NOT(QUOTE_Split_SoftwareHardware),QCalc!N54,QCalc!AB23),"")</f>
        <v/>
      </c>
      <c r="Y43" s="735"/>
      <c r="Z43" s="735"/>
      <c r="AA43" s="735"/>
      <c r="AB43" s="735"/>
      <c r="AC43" s="735"/>
      <c r="AD43" s="735"/>
      <c r="AE43" s="735"/>
      <c r="AF43" s="735"/>
      <c r="AG43" s="735"/>
      <c r="AH43" s="736" t="str">
        <f>IF(NOT(QUOTE_Split_SoftwareHardware),QCalc!O54,QCalc!AC23)</f>
        <v/>
      </c>
      <c r="AI43" s="737"/>
      <c r="AJ43" s="270"/>
      <c r="AK43" s="271"/>
    </row>
    <row r="44" spans="1:37" ht="11" customHeight="1" x14ac:dyDescent="0.2">
      <c r="A44" s="89"/>
      <c r="B44" s="78" t="str">
        <f>IF(AND(C44&gt;0,C44&lt;&gt;"",AND(LEFT(E44,7)&lt;&gt;"   • Wi",LEFT(E44,7)&lt;&gt;"   • XL")),COUNT($C$23:C44)-(SUMPRODUCT(--(LEFT($E$23:E44,7)="   • Wi"))+SUMPRODUCT(--(LEFT($E$23:E44,7)="   • XL"))),"")</f>
        <v/>
      </c>
      <c r="C44" s="87" t="str">
        <f>IF(IFERROR(SEARCH("% discount on",QCalc!$N24),0)=0,
IF(NOT(QUOTE_Split_SoftwareHardware),QCalc!Q24,QCalc!X24),"")</f>
        <v/>
      </c>
      <c r="D44" s="87" t="str">
        <f t="shared" si="4"/>
        <v/>
      </c>
      <c r="E44" s="734" t="str">
        <f>IF(IFERROR(SEARCH("% discount on",QCalc!$N24),0)=0,
IF(NOT(QUOTE_Split_SoftwareHardware),QCalc!N24,QCalc!U24),"")</f>
        <v/>
      </c>
      <c r="F44" s="735"/>
      <c r="G44" s="735"/>
      <c r="H44" s="735"/>
      <c r="I44" s="735"/>
      <c r="J44" s="735"/>
      <c r="K44" s="735"/>
      <c r="L44" s="735"/>
      <c r="M44" s="735"/>
      <c r="N44" s="735"/>
      <c r="O44" s="736" t="str">
        <f>IF(NOT(QUOTE_Split_SoftwareHardware),QCalc!O24,QCalc!V24)</f>
        <v/>
      </c>
      <c r="P44" s="737"/>
      <c r="Q44" s="270"/>
      <c r="R44" s="271"/>
      <c r="T44" s="89"/>
      <c r="U44" s="78" t="str">
        <f>IF(AND(V44&gt;0,V44&lt;&gt;"",AND(LEFT(X44,7)&lt;&gt;"   • Wi",LEFT(X44,7)&lt;&gt;"   • XL")),COUNT($V$23:V44)-(SUMPRODUCT(--(LEFT($X$23:X44,7)="   • Wi"))+SUMPRODUCT(--(LEFT($X$23:X44,7)="   • XL")))+IF(NOT(QUOTE_Split_SoftwareHardware),MAX($B$23:$B$53),0),"")</f>
        <v/>
      </c>
      <c r="V44" s="87" t="str">
        <f>IF(IFERROR(SEARCH("% discount on",QCalc!$AE24),0)=0,
IF(NOT(QUOTE_Split_SoftwareHardware),QCalc!Q55,QCalc!AE24),"")</f>
        <v/>
      </c>
      <c r="W44" s="87" t="str">
        <f t="shared" si="5"/>
        <v/>
      </c>
      <c r="X44" s="735" t="str">
        <f>IF(IFERROR(SEARCH("% discount on",QCalc!$AE24),0)=0,
IF(NOT(QUOTE_Split_SoftwareHardware),QCalc!N55,QCalc!AB24),"")</f>
        <v/>
      </c>
      <c r="Y44" s="735"/>
      <c r="Z44" s="735"/>
      <c r="AA44" s="735"/>
      <c r="AB44" s="735"/>
      <c r="AC44" s="735"/>
      <c r="AD44" s="735"/>
      <c r="AE44" s="735"/>
      <c r="AF44" s="735"/>
      <c r="AG44" s="735"/>
      <c r="AH44" s="736" t="str">
        <f>IF(NOT(QUOTE_Split_SoftwareHardware),QCalc!O55,QCalc!AC24)</f>
        <v/>
      </c>
      <c r="AI44" s="737"/>
      <c r="AJ44" s="270"/>
      <c r="AK44" s="271"/>
    </row>
    <row r="45" spans="1:37" ht="11" customHeight="1" x14ac:dyDescent="0.2">
      <c r="A45" s="89"/>
      <c r="B45" s="78" t="str">
        <f>IF(AND(C45&gt;0,C45&lt;&gt;"",AND(LEFT(E45,7)&lt;&gt;"   • Wi",LEFT(E45,7)&lt;&gt;"   • XL")),COUNT($C$23:C45)-(SUMPRODUCT(--(LEFT($E$23:E45,7)="   • Wi"))+SUMPRODUCT(--(LEFT($E$23:E45,7)="   • XL"))),"")</f>
        <v/>
      </c>
      <c r="C45" s="87" t="str">
        <f>IF(IFERROR(SEARCH("% discount on",QCalc!$N25),0)=0,
IF(NOT(QUOTE_Split_SoftwareHardware),QCalc!Q25,QCalc!X25),"")</f>
        <v/>
      </c>
      <c r="D45" s="87" t="str">
        <f t="shared" si="4"/>
        <v/>
      </c>
      <c r="E45" s="734" t="str">
        <f>IF(IFERROR(SEARCH("% discount on",QCalc!$N25),0)=0,
IF(NOT(QUOTE_Split_SoftwareHardware),QCalc!N25,QCalc!U25),"")</f>
        <v/>
      </c>
      <c r="F45" s="735"/>
      <c r="G45" s="735"/>
      <c r="H45" s="735"/>
      <c r="I45" s="735"/>
      <c r="J45" s="735"/>
      <c r="K45" s="735"/>
      <c r="L45" s="735"/>
      <c r="M45" s="735"/>
      <c r="N45" s="735"/>
      <c r="O45" s="736" t="str">
        <f>IF(NOT(QUOTE_Split_SoftwareHardware),QCalc!O25,QCalc!V25)</f>
        <v/>
      </c>
      <c r="P45" s="737"/>
      <c r="Q45" s="270"/>
      <c r="R45" s="271"/>
      <c r="T45" s="89"/>
      <c r="U45" s="78" t="str">
        <f>IF(AND(V45&gt;0,V45&lt;&gt;"",AND(LEFT(X45,7)&lt;&gt;"   • Wi",LEFT(X45,7)&lt;&gt;"   • XL")),COUNT($V$23:V45)-(SUMPRODUCT(--(LEFT($X$23:X45,7)="   • Wi"))+SUMPRODUCT(--(LEFT($X$23:X45,7)="   • XL")))+IF(NOT(QUOTE_Split_SoftwareHardware),MAX($B$23:$B$53),0),"")</f>
        <v/>
      </c>
      <c r="V45" s="87" t="str">
        <f>IF(IFERROR(SEARCH("% discount on",QCalc!$AE25),0)=0,
IF(NOT(QUOTE_Split_SoftwareHardware),QCalc!Q56,QCalc!AE25),"")</f>
        <v/>
      </c>
      <c r="W45" s="87" t="str">
        <f t="shared" si="5"/>
        <v/>
      </c>
      <c r="X45" s="735" t="str">
        <f>IF(IFERROR(SEARCH("% discount on",QCalc!$AE25),0)=0,
IF(NOT(QUOTE_Split_SoftwareHardware),QCalc!N56,QCalc!AB25),"")</f>
        <v/>
      </c>
      <c r="Y45" s="735"/>
      <c r="Z45" s="735"/>
      <c r="AA45" s="735"/>
      <c r="AB45" s="735"/>
      <c r="AC45" s="735"/>
      <c r="AD45" s="735"/>
      <c r="AE45" s="735"/>
      <c r="AF45" s="735"/>
      <c r="AG45" s="735"/>
      <c r="AH45" s="736" t="str">
        <f>IF(NOT(QUOTE_Split_SoftwareHardware),QCalc!O56,QCalc!AC25)</f>
        <v/>
      </c>
      <c r="AI45" s="737"/>
      <c r="AJ45" s="270"/>
      <c r="AK45" s="271"/>
    </row>
    <row r="46" spans="1:37" ht="11" customHeight="1" x14ac:dyDescent="0.2">
      <c r="A46" s="89"/>
      <c r="B46" s="78" t="str">
        <f>IF(AND(C46&gt;0,C46&lt;&gt;"",AND(LEFT(E46,7)&lt;&gt;"   • Wi",LEFT(E46,7)&lt;&gt;"   • XL")),COUNT($C$23:C46)-(SUMPRODUCT(--(LEFT($E$23:E46,7)="   • Wi"))+SUMPRODUCT(--(LEFT($E$23:E46,7)="   • XL"))),"")</f>
        <v/>
      </c>
      <c r="C46" s="87" t="str">
        <f>IF(IFERROR(SEARCH("% discount on",QCalc!$N26),0)=0,
IF(NOT(QUOTE_Split_SoftwareHardware),QCalc!Q26,QCalc!X26),"")</f>
        <v/>
      </c>
      <c r="D46" s="87" t="str">
        <f t="shared" si="4"/>
        <v/>
      </c>
      <c r="E46" s="734" t="str">
        <f>IF(IFERROR(SEARCH("% discount on",QCalc!$N26),0)=0,
IF(NOT(QUOTE_Split_SoftwareHardware),QCalc!N26,QCalc!U26),"")</f>
        <v/>
      </c>
      <c r="F46" s="735"/>
      <c r="G46" s="735"/>
      <c r="H46" s="735"/>
      <c r="I46" s="735"/>
      <c r="J46" s="735"/>
      <c r="K46" s="735"/>
      <c r="L46" s="735"/>
      <c r="M46" s="735"/>
      <c r="N46" s="735"/>
      <c r="O46" s="736" t="str">
        <f>IF(NOT(QUOTE_Split_SoftwareHardware),QCalc!O26,QCalc!V26)</f>
        <v/>
      </c>
      <c r="P46" s="737"/>
      <c r="Q46" s="270"/>
      <c r="R46" s="271"/>
      <c r="T46" s="89"/>
      <c r="U46" s="78" t="str">
        <f>IF(AND(V46&gt;0,V46&lt;&gt;"",AND(LEFT(X46,7)&lt;&gt;"   • Wi",LEFT(X46,7)&lt;&gt;"   • XL")),COUNT($V$23:V46)-(SUMPRODUCT(--(LEFT($X$23:X46,7)="   • Wi"))+SUMPRODUCT(--(LEFT($X$23:X46,7)="   • XL")))+IF(NOT(QUOTE_Split_SoftwareHardware),MAX($B$23:$B$53),0),"")</f>
        <v/>
      </c>
      <c r="V46" s="87" t="str">
        <f>IF(IFERROR(SEARCH("% discount on",QCalc!$AE26),0)=0,
IF(NOT(QUOTE_Split_SoftwareHardware),QCalc!Q57,QCalc!AE26),"")</f>
        <v/>
      </c>
      <c r="W46" s="87" t="str">
        <f t="shared" si="5"/>
        <v/>
      </c>
      <c r="X46" s="735" t="str">
        <f>IF(IFERROR(SEARCH("% discount on",QCalc!$AE26),0)=0,
IF(NOT(QUOTE_Split_SoftwareHardware),QCalc!N57,QCalc!AB26),"")</f>
        <v/>
      </c>
      <c r="Y46" s="735"/>
      <c r="Z46" s="735"/>
      <c r="AA46" s="735"/>
      <c r="AB46" s="735"/>
      <c r="AC46" s="735"/>
      <c r="AD46" s="735"/>
      <c r="AE46" s="735"/>
      <c r="AF46" s="735"/>
      <c r="AG46" s="735"/>
      <c r="AH46" s="736" t="str">
        <f>IF(NOT(QUOTE_Split_SoftwareHardware),QCalc!O57,QCalc!AC26)</f>
        <v/>
      </c>
      <c r="AI46" s="737"/>
      <c r="AJ46" s="270"/>
      <c r="AK46" s="271"/>
    </row>
    <row r="47" spans="1:37" ht="11" customHeight="1" x14ac:dyDescent="0.2">
      <c r="A47" s="89"/>
      <c r="B47" s="78" t="str">
        <f>IF(AND(C47&gt;0,C47&lt;&gt;"",AND(LEFT(E47,7)&lt;&gt;"   • Wi",LEFT(E47,7)&lt;&gt;"   • XL")),COUNT($C$23:C47)-(SUMPRODUCT(--(LEFT($E$23:E47,7)="   • Wi"))+SUMPRODUCT(--(LEFT($E$23:E47,7)="   • XL"))),"")</f>
        <v/>
      </c>
      <c r="C47" s="87" t="str">
        <f>IF(IFERROR(SEARCH("% discount on",QCalc!$N27),0)=0,
IF(NOT(QUOTE_Split_SoftwareHardware),QCalc!Q27,QCalc!X27),"")</f>
        <v/>
      </c>
      <c r="D47" s="87" t="str">
        <f t="shared" si="4"/>
        <v/>
      </c>
      <c r="E47" s="734" t="str">
        <f>IF(IFERROR(SEARCH("% discount on",QCalc!$N27),0)=0,
IF(NOT(QUOTE_Split_SoftwareHardware),QCalc!N27,QCalc!U27),"")</f>
        <v/>
      </c>
      <c r="F47" s="735"/>
      <c r="G47" s="735"/>
      <c r="H47" s="735"/>
      <c r="I47" s="735"/>
      <c r="J47" s="735"/>
      <c r="K47" s="735"/>
      <c r="L47" s="735"/>
      <c r="M47" s="735"/>
      <c r="N47" s="735"/>
      <c r="O47" s="736" t="str">
        <f>IF(NOT(QUOTE_Split_SoftwareHardware),QCalc!O27,QCalc!V27)</f>
        <v/>
      </c>
      <c r="P47" s="737"/>
      <c r="Q47" s="270"/>
      <c r="R47" s="271"/>
      <c r="T47" s="89"/>
      <c r="U47" s="78" t="str">
        <f>IF(AND(V47&gt;0,V47&lt;&gt;"",AND(LEFT(X47,7)&lt;&gt;"   • Wi",LEFT(X47,7)&lt;&gt;"   • XL")),COUNT($V$23:V47)-(SUMPRODUCT(--(LEFT($X$23:X47,7)="   • Wi"))+SUMPRODUCT(--(LEFT($X$23:X47,7)="   • XL")))+IF(NOT(QUOTE_Split_SoftwareHardware),MAX($B$23:$B$53),0),"")</f>
        <v/>
      </c>
      <c r="V47" s="87" t="str">
        <f>IF(IFERROR(SEARCH("% discount on",QCalc!$AE27),0)=0,
IF(NOT(QUOTE_Split_SoftwareHardware),QCalc!Q58,QCalc!AE27),"")</f>
        <v/>
      </c>
      <c r="W47" s="87" t="str">
        <f t="shared" si="5"/>
        <v/>
      </c>
      <c r="X47" s="735" t="str">
        <f>IF(IFERROR(SEARCH("% discount on",QCalc!$AE27),0)=0,
IF(NOT(QUOTE_Split_SoftwareHardware),QCalc!N58,QCalc!AB27),"")</f>
        <v/>
      </c>
      <c r="Y47" s="735"/>
      <c r="Z47" s="735"/>
      <c r="AA47" s="735"/>
      <c r="AB47" s="735"/>
      <c r="AC47" s="735"/>
      <c r="AD47" s="735"/>
      <c r="AE47" s="735"/>
      <c r="AF47" s="735"/>
      <c r="AG47" s="735"/>
      <c r="AH47" s="736" t="str">
        <f>IF(NOT(QUOTE_Split_SoftwareHardware),QCalc!O58,QCalc!AC27)</f>
        <v/>
      </c>
      <c r="AI47" s="737"/>
      <c r="AJ47" s="270"/>
      <c r="AK47" s="271"/>
    </row>
    <row r="48" spans="1:37" ht="11" customHeight="1" x14ac:dyDescent="0.2">
      <c r="A48" s="89"/>
      <c r="B48" s="78" t="str">
        <f>IF(AND(C48&gt;0,C48&lt;&gt;"",AND(LEFT(E48,7)&lt;&gt;"   • Wi",LEFT(E48,7)&lt;&gt;"   • XL")),COUNT($C$23:C48)-(SUMPRODUCT(--(LEFT($E$23:E48,7)="   • Wi"))+SUMPRODUCT(--(LEFT($E$23:E48,7)="   • XL"))),"")</f>
        <v/>
      </c>
      <c r="C48" s="87" t="str">
        <f>IF(IFERROR(SEARCH("% discount on",QCalc!$N28),0)=0,
IF(NOT(QUOTE_Split_SoftwareHardware),QCalc!Q28,QCalc!X28),"")</f>
        <v/>
      </c>
      <c r="D48" s="87" t="str">
        <f t="shared" si="4"/>
        <v/>
      </c>
      <c r="E48" s="734" t="str">
        <f>IF(IFERROR(SEARCH("% discount on",QCalc!$N28),0)=0,
IF(NOT(QUOTE_Split_SoftwareHardware),QCalc!N28,QCalc!U28),"")</f>
        <v/>
      </c>
      <c r="F48" s="735"/>
      <c r="G48" s="735"/>
      <c r="H48" s="735"/>
      <c r="I48" s="735"/>
      <c r="J48" s="735"/>
      <c r="K48" s="735"/>
      <c r="L48" s="735"/>
      <c r="M48" s="735"/>
      <c r="N48" s="735"/>
      <c r="O48" s="736" t="str">
        <f>IF(NOT(QUOTE_Split_SoftwareHardware),QCalc!O28,QCalc!V28)</f>
        <v/>
      </c>
      <c r="P48" s="737"/>
      <c r="Q48" s="270"/>
      <c r="R48" s="271"/>
      <c r="T48" s="89"/>
      <c r="U48" s="78" t="str">
        <f>IF(AND(V48&gt;0,V48&lt;&gt;"",AND(LEFT(X48,7)&lt;&gt;"   • Wi",LEFT(X48,7)&lt;&gt;"   • XL")),COUNT($V$23:V48)-(SUMPRODUCT(--(LEFT($X$23:X48,7)="   • Wi"))+SUMPRODUCT(--(LEFT($X$23:X48,7)="   • XL")))+IF(NOT(QUOTE_Split_SoftwareHardware),MAX($B$23:$B$53),0),"")</f>
        <v/>
      </c>
      <c r="V48" s="87" t="str">
        <f>IF(IFERROR(SEARCH("% discount on",QCalc!$AE28),0)=0,
IF(NOT(QUOTE_Split_SoftwareHardware),QCalc!Q59,QCalc!AE28),"")</f>
        <v/>
      </c>
      <c r="W48" s="87" t="str">
        <f t="shared" si="5"/>
        <v/>
      </c>
      <c r="X48" s="735" t="str">
        <f>IF(IFERROR(SEARCH("% discount on",QCalc!$AE28),0)=0,
IF(NOT(QUOTE_Split_SoftwareHardware),QCalc!N59,QCalc!AB28),"")</f>
        <v/>
      </c>
      <c r="Y48" s="735"/>
      <c r="Z48" s="735"/>
      <c r="AA48" s="735"/>
      <c r="AB48" s="735"/>
      <c r="AC48" s="735"/>
      <c r="AD48" s="735"/>
      <c r="AE48" s="735"/>
      <c r="AF48" s="735"/>
      <c r="AG48" s="735"/>
      <c r="AH48" s="736" t="str">
        <f>IF(NOT(QUOTE_Split_SoftwareHardware),QCalc!O59,QCalc!AC28)</f>
        <v/>
      </c>
      <c r="AI48" s="737"/>
      <c r="AJ48" s="270"/>
      <c r="AK48" s="271"/>
    </row>
    <row r="49" spans="1:37" ht="11" customHeight="1" x14ac:dyDescent="0.2">
      <c r="A49" s="89"/>
      <c r="B49" s="78" t="str">
        <f>IF(AND(C49&gt;0,C49&lt;&gt;"",AND(LEFT(E49,7)&lt;&gt;"   • Wi",LEFT(E49,7)&lt;&gt;"   • XL")),COUNT($C$23:C49)-(SUMPRODUCT(--(LEFT($E$23:E49,7)="   • Wi"))+SUMPRODUCT(--(LEFT($E$23:E49,7)="   • XL"))),"")</f>
        <v/>
      </c>
      <c r="C49" s="87" t="str">
        <f>IF(IFERROR(SEARCH("% discount on",QCalc!$N29),0)=0,
IF(NOT(QUOTE_Split_SoftwareHardware),QCalc!Q29,QCalc!X29),"")</f>
        <v/>
      </c>
      <c r="D49" s="87" t="str">
        <f t="shared" si="4"/>
        <v/>
      </c>
      <c r="E49" s="734" t="str">
        <f>IF(IFERROR(SEARCH("% discount on",QCalc!$N29),0)=0,
IF(NOT(QUOTE_Split_SoftwareHardware),QCalc!N29,QCalc!U29),"")</f>
        <v/>
      </c>
      <c r="F49" s="735"/>
      <c r="G49" s="735"/>
      <c r="H49" s="735"/>
      <c r="I49" s="735"/>
      <c r="J49" s="735"/>
      <c r="K49" s="735"/>
      <c r="L49" s="735"/>
      <c r="M49" s="735"/>
      <c r="N49" s="735"/>
      <c r="O49" s="736" t="str">
        <f>IF(NOT(QUOTE_Split_SoftwareHardware),QCalc!O29,QCalc!V29)</f>
        <v/>
      </c>
      <c r="P49" s="737"/>
      <c r="Q49" s="270"/>
      <c r="R49" s="271"/>
      <c r="T49" s="89"/>
      <c r="U49" s="78" t="str">
        <f>IF(AND(V49&gt;0,V49&lt;&gt;"",AND(LEFT(X49,7)&lt;&gt;"   • Wi",LEFT(X49,7)&lt;&gt;"   • XL")),COUNT($V$23:V49)-(SUMPRODUCT(--(LEFT($X$23:X49,7)="   • Wi"))+SUMPRODUCT(--(LEFT($X$23:X49,7)="   • XL")))+IF(NOT(QUOTE_Split_SoftwareHardware),MAX($B$23:$B$53),0),"")</f>
        <v/>
      </c>
      <c r="V49" s="87" t="str">
        <f>IF(IFERROR(SEARCH("% discount on",QCalc!$AE29),0)=0,
IF(NOT(QUOTE_Split_SoftwareHardware),QCalc!Q60,QCalc!AE29),"")</f>
        <v/>
      </c>
      <c r="W49" s="87" t="str">
        <f t="shared" si="5"/>
        <v/>
      </c>
      <c r="X49" s="735" t="str">
        <f>IF(IFERROR(SEARCH("% discount on",QCalc!$AE29),0)=0,
IF(NOT(QUOTE_Split_SoftwareHardware),QCalc!N60,QCalc!AB29),"")</f>
        <v/>
      </c>
      <c r="Y49" s="735"/>
      <c r="Z49" s="735"/>
      <c r="AA49" s="735"/>
      <c r="AB49" s="735"/>
      <c r="AC49" s="735"/>
      <c r="AD49" s="735"/>
      <c r="AE49" s="735"/>
      <c r="AF49" s="735"/>
      <c r="AG49" s="735"/>
      <c r="AH49" s="736" t="str">
        <f>IF(NOT(QUOTE_Split_SoftwareHardware),QCalc!O60,QCalc!AC29)</f>
        <v/>
      </c>
      <c r="AI49" s="737"/>
      <c r="AJ49" s="270"/>
      <c r="AK49" s="271"/>
    </row>
    <row r="50" spans="1:37" ht="11" customHeight="1" x14ac:dyDescent="0.2">
      <c r="A50" s="89"/>
      <c r="B50" s="78" t="str">
        <f>IF(AND(C50&gt;0,C50&lt;&gt;"",AND(LEFT(E50,7)&lt;&gt;"   • Wi",LEFT(E50,7)&lt;&gt;"   • XL")),COUNT($C$23:C50)-(SUMPRODUCT(--(LEFT($E$23:E50,7)="   • Wi"))+SUMPRODUCT(--(LEFT($E$23:E50,7)="   • XL"))),"")</f>
        <v/>
      </c>
      <c r="C50" s="87" t="str">
        <f>IF(IFERROR(SEARCH("% discount on",QCalc!$N30),0)=0,
IF(NOT(QUOTE_Split_SoftwareHardware),QCalc!Q30,QCalc!X30),"")</f>
        <v/>
      </c>
      <c r="D50" s="87" t="str">
        <f t="shared" si="4"/>
        <v/>
      </c>
      <c r="E50" s="734" t="str">
        <f>IF(IFERROR(SEARCH("% discount on",QCalc!$N30),0)=0,
IF(NOT(QUOTE_Split_SoftwareHardware),QCalc!N30,QCalc!U30),"")</f>
        <v/>
      </c>
      <c r="F50" s="735"/>
      <c r="G50" s="735"/>
      <c r="H50" s="735"/>
      <c r="I50" s="735"/>
      <c r="J50" s="735"/>
      <c r="K50" s="735"/>
      <c r="L50" s="735"/>
      <c r="M50" s="735"/>
      <c r="N50" s="735"/>
      <c r="O50" s="736" t="str">
        <f>IF(NOT(QUOTE_Split_SoftwareHardware),QCalc!O30,QCalc!V30)</f>
        <v/>
      </c>
      <c r="P50" s="737"/>
      <c r="Q50" s="270"/>
      <c r="R50" s="271"/>
      <c r="T50" s="89"/>
      <c r="U50" s="78" t="str">
        <f>IF(AND(V50&gt;0,V50&lt;&gt;"",AND(LEFT(X50,7)&lt;&gt;"   • Wi",LEFT(X50,7)&lt;&gt;"   • XL")),COUNT($V$23:V50)-(SUMPRODUCT(--(LEFT($X$23:X50,7)="   • Wi"))+SUMPRODUCT(--(LEFT($X$23:X50,7)="   • XL")))+IF(NOT(QUOTE_Split_SoftwareHardware),MAX($B$23:$B$53),0),"")</f>
        <v/>
      </c>
      <c r="V50" s="87" t="str">
        <f>IF(IFERROR(SEARCH("% discount on",QCalc!$AE30),0)=0,
IF(NOT(QUOTE_Split_SoftwareHardware),QCalc!Q61,QCalc!AE30),"")</f>
        <v/>
      </c>
      <c r="W50" s="87" t="str">
        <f t="shared" si="5"/>
        <v/>
      </c>
      <c r="X50" s="735" t="str">
        <f>IF(IFERROR(SEARCH("% discount on",QCalc!$AE30),0)=0,
IF(NOT(QUOTE_Split_SoftwareHardware),QCalc!N61,QCalc!AB30),"")</f>
        <v/>
      </c>
      <c r="Y50" s="735"/>
      <c r="Z50" s="735"/>
      <c r="AA50" s="735"/>
      <c r="AB50" s="735"/>
      <c r="AC50" s="735"/>
      <c r="AD50" s="735"/>
      <c r="AE50" s="735"/>
      <c r="AF50" s="735"/>
      <c r="AG50" s="735"/>
      <c r="AH50" s="736" t="str">
        <f>IF(NOT(QUOTE_Split_SoftwareHardware),QCalc!O61,QCalc!AC30)</f>
        <v/>
      </c>
      <c r="AI50" s="737"/>
      <c r="AJ50" s="270"/>
      <c r="AK50" s="271"/>
    </row>
    <row r="51" spans="1:37" ht="11" customHeight="1" x14ac:dyDescent="0.2">
      <c r="A51" s="89"/>
      <c r="B51" s="78" t="str">
        <f>IF(AND(C51&gt;0,C51&lt;&gt;"",AND(LEFT(E51,7)&lt;&gt;"   • Wi",LEFT(E51,7)&lt;&gt;"   • XL")),COUNT($C$23:C51)-(SUMPRODUCT(--(LEFT($E$23:E51,7)="   • Wi"))+SUMPRODUCT(--(LEFT($E$23:E51,7)="   • XL"))),"")</f>
        <v/>
      </c>
      <c r="C51" s="87" t="str">
        <f>IF(IFERROR(SEARCH("% discount on",QCalc!$N31),0)=0,
IF(NOT(QUOTE_Split_SoftwareHardware),QCalc!Q31,QCalc!X31),"")</f>
        <v/>
      </c>
      <c r="D51" s="87" t="str">
        <f t="shared" si="4"/>
        <v/>
      </c>
      <c r="E51" s="734" t="str">
        <f>IF(IFERROR(SEARCH("% discount on",QCalc!$N31),0)=0,
IF(NOT(QUOTE_Split_SoftwareHardware),QCalc!N31,QCalc!U31),"")</f>
        <v/>
      </c>
      <c r="F51" s="735"/>
      <c r="G51" s="735"/>
      <c r="H51" s="735"/>
      <c r="I51" s="735"/>
      <c r="J51" s="735"/>
      <c r="K51" s="735"/>
      <c r="L51" s="735"/>
      <c r="M51" s="735"/>
      <c r="N51" s="735"/>
      <c r="O51" s="736" t="str">
        <f>IF(NOT(QUOTE_Split_SoftwareHardware),QCalc!O31,QCalc!V31)</f>
        <v/>
      </c>
      <c r="P51" s="737"/>
      <c r="Q51" s="270"/>
      <c r="R51" s="271"/>
      <c r="T51" s="89"/>
      <c r="U51" s="78" t="str">
        <f>IF(AND(V51&gt;0,V51&lt;&gt;"",AND(LEFT(X51,7)&lt;&gt;"   • Wi",LEFT(X51,7)&lt;&gt;"   • XL")),COUNT($V$23:V51)-(SUMPRODUCT(--(LEFT($X$23:X51,7)="   • Wi"))+SUMPRODUCT(--(LEFT($X$23:X51,7)="   • XL")))+IF(NOT(QUOTE_Split_SoftwareHardware),MAX($B$23:$B$53),0),"")</f>
        <v/>
      </c>
      <c r="V51" s="87" t="str">
        <f>IF(IFERROR(SEARCH("% discount on",QCalc!$AE31),0)=0,
IF(NOT(QUOTE_Split_SoftwareHardware),QCalc!Q62,QCalc!AE31),"")</f>
        <v/>
      </c>
      <c r="W51" s="87" t="str">
        <f t="shared" si="5"/>
        <v/>
      </c>
      <c r="X51" s="735" t="str">
        <f>IF(IFERROR(SEARCH("% discount on",QCalc!$AE31),0)=0,
IF(NOT(QUOTE_Split_SoftwareHardware),QCalc!N62,QCalc!AB31),"")</f>
        <v/>
      </c>
      <c r="Y51" s="735"/>
      <c r="Z51" s="735"/>
      <c r="AA51" s="735"/>
      <c r="AB51" s="735"/>
      <c r="AC51" s="735"/>
      <c r="AD51" s="735"/>
      <c r="AE51" s="735"/>
      <c r="AF51" s="735"/>
      <c r="AG51" s="735"/>
      <c r="AH51" s="736" t="str">
        <f>IF(NOT(QUOTE_Split_SoftwareHardware),QCalc!O62,QCalc!AC31)</f>
        <v/>
      </c>
      <c r="AI51" s="737"/>
      <c r="AJ51" s="270"/>
      <c r="AK51" s="271"/>
    </row>
    <row r="52" spans="1:37" ht="11" customHeight="1" x14ac:dyDescent="0.2">
      <c r="A52" s="89"/>
      <c r="B52" s="78" t="str">
        <f>IF(AND(C52&gt;0,C52&lt;&gt;"",AND(LEFT(E52,7)&lt;&gt;"   • Wi",LEFT(E52,7)&lt;&gt;"   • XL")),COUNT($C$23:C52)-(SUMPRODUCT(--(LEFT($E$23:E52,7)="   • Wi"))+SUMPRODUCT(--(LEFT($E$23:E52,7)="   • XL"))),"")</f>
        <v/>
      </c>
      <c r="C52" s="87" t="str">
        <f>IF(IFERROR(SEARCH("% discount on",QCalc!$N32),0)=0,
IF(NOT(QUOTE_Split_SoftwareHardware),QCalc!Q32,QCalc!X32),"")</f>
        <v/>
      </c>
      <c r="D52" s="87" t="str">
        <f t="shared" si="4"/>
        <v/>
      </c>
      <c r="E52" s="734" t="str">
        <f>IF(IFERROR(SEARCH("% discount on",QCalc!$N32),0)=0,
IF(NOT(QUOTE_Split_SoftwareHardware),QCalc!N32,QCalc!U32),"")</f>
        <v/>
      </c>
      <c r="F52" s="735"/>
      <c r="G52" s="735"/>
      <c r="H52" s="735"/>
      <c r="I52" s="735"/>
      <c r="J52" s="735"/>
      <c r="K52" s="735"/>
      <c r="L52" s="735"/>
      <c r="M52" s="735"/>
      <c r="N52" s="735"/>
      <c r="O52" s="736" t="str">
        <f>IF(NOT(QUOTE_Split_SoftwareHardware),QCalc!O32,QCalc!V32)</f>
        <v/>
      </c>
      <c r="P52" s="737"/>
      <c r="Q52" s="270"/>
      <c r="R52" s="271"/>
      <c r="T52" s="89"/>
      <c r="U52" s="78" t="str">
        <f>IF(AND(V52&gt;0,V52&lt;&gt;"",AND(LEFT(X52,7)&lt;&gt;"   • Wi",LEFT(X52,7)&lt;&gt;"   • XL")),COUNT($V$23:V52)-(SUMPRODUCT(--(LEFT($X$23:X52,7)="   • Wi"))+SUMPRODUCT(--(LEFT($X$23:X52,7)="   • XL")))+IF(NOT(QUOTE_Split_SoftwareHardware),MAX($B$23:$B$53),0),"")</f>
        <v/>
      </c>
      <c r="V52" s="87" t="str">
        <f>IF(IFERROR(SEARCH("% discount on",QCalc!$AE32),0)=0,
IF(NOT(QUOTE_Split_SoftwareHardware),QCalc!Q63,QCalc!AE32),"")</f>
        <v/>
      </c>
      <c r="W52" s="87" t="str">
        <f t="shared" si="5"/>
        <v/>
      </c>
      <c r="X52" s="735" t="str">
        <f>IF(IFERROR(SEARCH("% discount on",QCalc!$AE32),0)=0,
IF(NOT(QUOTE_Split_SoftwareHardware),QCalc!N63,QCalc!AB32),"")</f>
        <v/>
      </c>
      <c r="Y52" s="735"/>
      <c r="Z52" s="735"/>
      <c r="AA52" s="735"/>
      <c r="AB52" s="735"/>
      <c r="AC52" s="735"/>
      <c r="AD52" s="735"/>
      <c r="AE52" s="735"/>
      <c r="AF52" s="735"/>
      <c r="AG52" s="735"/>
      <c r="AH52" s="736" t="str">
        <f>IF(NOT(QUOTE_Split_SoftwareHardware),QCalc!O63,QCalc!AC32)</f>
        <v/>
      </c>
      <c r="AI52" s="737"/>
      <c r="AJ52" s="270"/>
      <c r="AK52" s="271"/>
    </row>
    <row r="53" spans="1:37" ht="11" customHeight="1" x14ac:dyDescent="0.2">
      <c r="A53" s="89"/>
      <c r="B53" s="78" t="str">
        <f>IF(AND(C53&gt;0,C53&lt;&gt;"",AND(LEFT(E53,7)&lt;&gt;"   • Wi",LEFT(E53,7)&lt;&gt;"   • XL")),COUNT($C$23:C53)-(SUMPRODUCT(--(LEFT($E$23:E53,7)="   • Wi"))+SUMPRODUCT(--(LEFT($E$23:E53,7)="   • XL"))),"")</f>
        <v/>
      </c>
      <c r="C53" s="87" t="str">
        <f>IF(IFERROR(SEARCH("% discount on",QCalc!$N33),0)=0,
IF(NOT(QUOTE_Split_SoftwareHardware),QCalc!Q33,QCalc!X33),"")</f>
        <v/>
      </c>
      <c r="D53" s="87" t="str">
        <f t="shared" si="4"/>
        <v/>
      </c>
      <c r="E53" s="734" t="str">
        <f>IF(IFERROR(SEARCH("% discount on",QCalc!$N33),0)=0,
IF(NOT(QUOTE_Split_SoftwareHardware),QCalc!N33,QCalc!U33),"")</f>
        <v/>
      </c>
      <c r="F53" s="735"/>
      <c r="G53" s="735"/>
      <c r="H53" s="735"/>
      <c r="I53" s="735"/>
      <c r="J53" s="735"/>
      <c r="K53" s="735"/>
      <c r="L53" s="735"/>
      <c r="M53" s="735"/>
      <c r="N53" s="735"/>
      <c r="O53" s="736" t="str">
        <f>IF(NOT(QUOTE_Split_SoftwareHardware),QCalc!O33,QCalc!V33)</f>
        <v/>
      </c>
      <c r="P53" s="737"/>
      <c r="Q53" s="270"/>
      <c r="R53" s="271"/>
      <c r="T53" s="89"/>
      <c r="U53" s="78" t="str">
        <f>IF(AND(V53&gt;0,V53&lt;&gt;"",AND(LEFT(X53,7)&lt;&gt;"   • Wi",LEFT(X53,7)&lt;&gt;"   • XL")),COUNT($V$23:V53)-(SUMPRODUCT(--(LEFT($X$23:X53,7)="   • Wi"))+SUMPRODUCT(--(LEFT($X$23:X53,7)="   • XL")))+IF(NOT(QUOTE_Split_SoftwareHardware),MAX($B$23:$B$53),0),"")</f>
        <v/>
      </c>
      <c r="V53" s="87" t="str">
        <f>IF(IFERROR(SEARCH("% discount on",QCalc!$AE33),0)=0,
IF(NOT(QUOTE_Split_SoftwareHardware),QCalc!Q64,QCalc!AE33),"")</f>
        <v/>
      </c>
      <c r="W53" s="87" t="str">
        <f t="shared" si="5"/>
        <v/>
      </c>
      <c r="X53" s="735" t="str">
        <f>IF(IFERROR(SEARCH("% discount on",QCalc!$AE33),0)=0,
IF(NOT(QUOTE_Split_SoftwareHardware),QCalc!N64,QCalc!AB33),"")</f>
        <v/>
      </c>
      <c r="Y53" s="735"/>
      <c r="Z53" s="735"/>
      <c r="AA53" s="735"/>
      <c r="AB53" s="735"/>
      <c r="AC53" s="735"/>
      <c r="AD53" s="735"/>
      <c r="AE53" s="735"/>
      <c r="AF53" s="735"/>
      <c r="AG53" s="735"/>
      <c r="AH53" s="736" t="str">
        <f>IF(NOT(QUOTE_Split_SoftwareHardware),QCalc!O64,QCalc!AC33)</f>
        <v/>
      </c>
      <c r="AI53" s="737"/>
      <c r="AJ53" s="270"/>
      <c r="AK53" s="271"/>
    </row>
    <row r="54" spans="1:37" ht="11" customHeight="1" x14ac:dyDescent="0.2">
      <c r="A54" s="90"/>
      <c r="B54" s="125"/>
      <c r="C54" s="92"/>
      <c r="D54" s="92"/>
      <c r="E54" s="126"/>
      <c r="F54" s="762" t="str">
        <f>IF(AND(QUOTE_Split_SoftwareHardware,COUNTIF(TableQCalcMain[ShowSoft],"&gt;0")&gt;31),
IF(Francais,"DÉBORDEMENT, Certains items ne sont pas affichés et facturés","OVERFLOW, Some items are not shown and billed"),
IF(RIGHT(R64,1)&lt;&gt;"1","Also includes items on next page(s)",""))</f>
        <v/>
      </c>
      <c r="G54" s="762"/>
      <c r="H54" s="762"/>
      <c r="I54" s="762"/>
      <c r="J54" s="762"/>
      <c r="K54" s="762"/>
      <c r="L54" s="762"/>
      <c r="M54" s="762"/>
      <c r="N54" s="762"/>
      <c r="O54" s="739"/>
      <c r="P54" s="739"/>
      <c r="Q54" s="272"/>
      <c r="R54" s="273"/>
      <c r="T54" s="90"/>
      <c r="U54" s="125"/>
      <c r="V54" s="92"/>
      <c r="W54" s="92"/>
      <c r="X54" s="126"/>
      <c r="Y54" s="762" t="str">
        <f>IF(NOT(QUOTE_Split_SoftwareHardware),
IF(COUNTIF(TableQCalcMain[ShowDesc?],"&gt;0")&gt;64,IF(Francais,"DÉBORDEMENT, Certains items ne sont pas affichés et facturés","OVERFLOW, Some items are not shown and billed"),""),
IF(COUNTIF(TableQCalcMain[ShowHard],"&gt;0")&gt;31,IF(Francais,"DÉBORDEMENT, Certains items ne sont pas affichés et facturés","OVERFLOW, Some items are not shown and billed"),"")
)</f>
        <v/>
      </c>
      <c r="Z54" s="762"/>
      <c r="AA54" s="762"/>
      <c r="AB54" s="762"/>
      <c r="AC54" s="762"/>
      <c r="AD54" s="762"/>
      <c r="AE54" s="762"/>
      <c r="AF54" s="762"/>
      <c r="AG54" s="762"/>
      <c r="AH54" s="739"/>
      <c r="AI54" s="739"/>
      <c r="AJ54" s="272"/>
      <c r="AK54" s="273"/>
    </row>
    <row r="55" spans="1:37" ht="5.75" customHeight="1" x14ac:dyDescent="0.2">
      <c r="O55" s="52"/>
      <c r="P55" s="105"/>
      <c r="Q55" s="96"/>
      <c r="R55" s="106"/>
      <c r="T55" s="51"/>
      <c r="U55" s="51"/>
      <c r="V55" s="51"/>
      <c r="W55" s="51"/>
      <c r="X55" s="51"/>
      <c r="Y55" s="51"/>
      <c r="Z55" s="51"/>
      <c r="AA55" s="51"/>
      <c r="AB55" s="51"/>
      <c r="AC55" s="51"/>
      <c r="AD55" s="51"/>
      <c r="AE55" s="51"/>
      <c r="AF55" s="51"/>
      <c r="AG55" s="51"/>
      <c r="AH55" s="52"/>
      <c r="AI55" s="105"/>
      <c r="AJ55" s="96"/>
      <c r="AK55" s="106"/>
    </row>
    <row r="56" spans="1:37" ht="15.5" customHeight="1" x14ac:dyDescent="0.2">
      <c r="A56" s="815" t="str">
        <f>IF(Francais,"LISTE DE COLISAGE","PACKING LIST")</f>
        <v>PACKING LIST</v>
      </c>
      <c r="B56" s="815"/>
      <c r="C56" s="815"/>
      <c r="D56" s="815"/>
      <c r="E56" s="815"/>
      <c r="F56" s="815"/>
      <c r="G56" s="815"/>
      <c r="H56" s="815"/>
      <c r="I56" s="815"/>
      <c r="J56" s="815"/>
      <c r="K56" s="815"/>
      <c r="L56" s="815"/>
      <c r="M56" s="815"/>
      <c r="N56" s="815"/>
      <c r="O56" s="815"/>
      <c r="P56" s="815"/>
      <c r="Q56" s="815"/>
      <c r="R56" s="815"/>
      <c r="T56" s="815" t="str">
        <f>IF(Francais,"LISTE DE COLISAGE","PACKING LIST")</f>
        <v>PACKING LIST</v>
      </c>
      <c r="U56" s="815"/>
      <c r="V56" s="815"/>
      <c r="W56" s="815"/>
      <c r="X56" s="815"/>
      <c r="Y56" s="815"/>
      <c r="Z56" s="815"/>
      <c r="AA56" s="815"/>
      <c r="AB56" s="815"/>
      <c r="AC56" s="815"/>
      <c r="AD56" s="815"/>
      <c r="AE56" s="815"/>
      <c r="AF56" s="815"/>
      <c r="AG56" s="815"/>
      <c r="AH56" s="815"/>
      <c r="AI56" s="815"/>
      <c r="AJ56" s="815"/>
      <c r="AK56" s="815"/>
    </row>
    <row r="57" spans="1:37" ht="15.5" customHeight="1" x14ac:dyDescent="0.2">
      <c r="A57" s="815"/>
      <c r="B57" s="815"/>
      <c r="C57" s="815"/>
      <c r="D57" s="815"/>
      <c r="E57" s="815"/>
      <c r="F57" s="815"/>
      <c r="G57" s="815"/>
      <c r="H57" s="815"/>
      <c r="I57" s="815"/>
      <c r="J57" s="815"/>
      <c r="K57" s="815"/>
      <c r="L57" s="815"/>
      <c r="M57" s="815"/>
      <c r="N57" s="815"/>
      <c r="O57" s="815"/>
      <c r="P57" s="815"/>
      <c r="Q57" s="815"/>
      <c r="R57" s="815"/>
      <c r="T57" s="815"/>
      <c r="U57" s="815"/>
      <c r="V57" s="815"/>
      <c r="W57" s="815"/>
      <c r="X57" s="815"/>
      <c r="Y57" s="815"/>
      <c r="Z57" s="815"/>
      <c r="AA57" s="815"/>
      <c r="AB57" s="815"/>
      <c r="AC57" s="815"/>
      <c r="AD57" s="815"/>
      <c r="AE57" s="815"/>
      <c r="AF57" s="815"/>
      <c r="AG57" s="815"/>
      <c r="AH57" s="815"/>
      <c r="AI57" s="815"/>
      <c r="AJ57" s="815"/>
      <c r="AK57" s="815"/>
    </row>
    <row r="58" spans="1:37" ht="15.5" customHeight="1" x14ac:dyDescent="0.2">
      <c r="A58" s="815"/>
      <c r="B58" s="815"/>
      <c r="C58" s="815"/>
      <c r="D58" s="815"/>
      <c r="E58" s="815"/>
      <c r="F58" s="815"/>
      <c r="G58" s="815"/>
      <c r="H58" s="815"/>
      <c r="I58" s="815"/>
      <c r="J58" s="815"/>
      <c r="K58" s="815"/>
      <c r="L58" s="815"/>
      <c r="M58" s="815"/>
      <c r="N58" s="815"/>
      <c r="O58" s="815"/>
      <c r="P58" s="815"/>
      <c r="Q58" s="815"/>
      <c r="R58" s="815"/>
      <c r="T58" s="815"/>
      <c r="U58" s="815"/>
      <c r="V58" s="815"/>
      <c r="W58" s="815"/>
      <c r="X58" s="815"/>
      <c r="Y58" s="815"/>
      <c r="Z58" s="815"/>
      <c r="AA58" s="815"/>
      <c r="AB58" s="815"/>
      <c r="AC58" s="815"/>
      <c r="AD58" s="815"/>
      <c r="AE58" s="815"/>
      <c r="AF58" s="815"/>
      <c r="AG58" s="815"/>
      <c r="AH58" s="815"/>
      <c r="AI58" s="815"/>
      <c r="AJ58" s="815"/>
      <c r="AK58" s="815"/>
    </row>
    <row r="59" spans="1:37" ht="11" customHeight="1" x14ac:dyDescent="0.2">
      <c r="A59" s="815"/>
      <c r="B59" s="815"/>
      <c r="C59" s="815"/>
      <c r="D59" s="815"/>
      <c r="E59" s="815"/>
      <c r="F59" s="815"/>
      <c r="G59" s="815"/>
      <c r="H59" s="815"/>
      <c r="I59" s="815"/>
      <c r="J59" s="815"/>
      <c r="K59" s="815"/>
      <c r="L59" s="815"/>
      <c r="M59" s="815"/>
      <c r="N59" s="815"/>
      <c r="O59" s="815"/>
      <c r="P59" s="815"/>
      <c r="Q59" s="815"/>
      <c r="R59" s="815"/>
      <c r="T59" s="815"/>
      <c r="U59" s="815"/>
      <c r="V59" s="815"/>
      <c r="W59" s="815"/>
      <c r="X59" s="815"/>
      <c r="Y59" s="815"/>
      <c r="Z59" s="815"/>
      <c r="AA59" s="815"/>
      <c r="AB59" s="815"/>
      <c r="AC59" s="815"/>
      <c r="AD59" s="815"/>
      <c r="AE59" s="815"/>
      <c r="AF59" s="815"/>
      <c r="AG59" s="815"/>
      <c r="AH59" s="815"/>
      <c r="AI59" s="815"/>
      <c r="AJ59" s="815"/>
      <c r="AK59" s="815"/>
    </row>
    <row r="60" spans="1:37" ht="15.5" customHeight="1" x14ac:dyDescent="0.2">
      <c r="A60" s="815"/>
      <c r="B60" s="815"/>
      <c r="C60" s="815"/>
      <c r="D60" s="815"/>
      <c r="E60" s="815"/>
      <c r="F60" s="815"/>
      <c r="G60" s="815"/>
      <c r="H60" s="815"/>
      <c r="I60" s="815"/>
      <c r="J60" s="815"/>
      <c r="K60" s="815"/>
      <c r="L60" s="815"/>
      <c r="M60" s="815"/>
      <c r="N60" s="815"/>
      <c r="O60" s="815"/>
      <c r="P60" s="815"/>
      <c r="Q60" s="815"/>
      <c r="R60" s="815"/>
      <c r="T60" s="815"/>
      <c r="U60" s="815"/>
      <c r="V60" s="815"/>
      <c r="W60" s="815"/>
      <c r="X60" s="815"/>
      <c r="Y60" s="815"/>
      <c r="Z60" s="815"/>
      <c r="AA60" s="815"/>
      <c r="AB60" s="815"/>
      <c r="AC60" s="815"/>
      <c r="AD60" s="815"/>
      <c r="AE60" s="815"/>
      <c r="AF60" s="815"/>
      <c r="AG60" s="815"/>
      <c r="AH60" s="815"/>
      <c r="AI60" s="815"/>
      <c r="AJ60" s="815"/>
      <c r="AK60" s="815"/>
    </row>
    <row r="61" spans="1:37" x14ac:dyDescent="0.2">
      <c r="B61" s="123"/>
      <c r="C61" s="123"/>
      <c r="D61" s="123"/>
      <c r="E61" s="123"/>
      <c r="F61" s="123"/>
      <c r="G61" s="123"/>
      <c r="H61" s="123"/>
      <c r="I61" s="123"/>
      <c r="J61" s="123"/>
      <c r="K61" s="123"/>
      <c r="L61" s="123"/>
      <c r="M61" s="123"/>
      <c r="O61" s="52"/>
      <c r="R61" s="107"/>
      <c r="T61" s="51"/>
      <c r="U61" s="56"/>
      <c r="V61" s="56"/>
      <c r="W61" s="56"/>
      <c r="X61" s="56"/>
      <c r="Y61" s="56"/>
      <c r="Z61" s="56"/>
      <c r="AA61" s="56"/>
      <c r="AB61" s="56"/>
      <c r="AC61" s="56"/>
      <c r="AD61" s="56"/>
      <c r="AE61" s="56"/>
      <c r="AF61" s="56"/>
      <c r="AG61" s="51"/>
      <c r="AH61" s="52"/>
      <c r="AI61" s="51"/>
      <c r="AJ61" s="51"/>
      <c r="AK61" s="107"/>
    </row>
    <row r="62" spans="1:37" x14ac:dyDescent="0.2">
      <c r="B62" s="123"/>
      <c r="C62" s="123"/>
      <c r="D62" s="123"/>
      <c r="E62" s="123"/>
      <c r="F62" s="123"/>
      <c r="G62" s="123"/>
      <c r="H62" s="123"/>
      <c r="I62" s="123"/>
      <c r="J62" s="123"/>
      <c r="K62" s="123"/>
      <c r="L62" s="123"/>
      <c r="M62" s="123"/>
      <c r="N62" s="52"/>
      <c r="Q62" s="55"/>
      <c r="R62" s="55"/>
      <c r="T62" s="51"/>
      <c r="U62" s="56"/>
      <c r="V62" s="56"/>
      <c r="W62" s="56"/>
      <c r="X62" s="56"/>
      <c r="Y62" s="56"/>
      <c r="Z62" s="56"/>
      <c r="AA62" s="56"/>
      <c r="AB62" s="56"/>
      <c r="AC62" s="56"/>
      <c r="AD62" s="56"/>
      <c r="AE62" s="56"/>
      <c r="AF62" s="56"/>
      <c r="AG62" s="52"/>
      <c r="AH62" s="51"/>
      <c r="AI62" s="51"/>
      <c r="AJ62" s="55"/>
      <c r="AK62" s="55"/>
    </row>
    <row r="63" spans="1:37" x14ac:dyDescent="0.2">
      <c r="B63" s="124"/>
      <c r="C63" s="124"/>
      <c r="D63" s="124"/>
      <c r="E63" s="124"/>
      <c r="F63" s="124"/>
      <c r="G63" s="124"/>
      <c r="H63" s="124"/>
      <c r="I63" s="124"/>
      <c r="J63" s="124"/>
      <c r="N63" s="52"/>
      <c r="T63" s="51"/>
      <c r="U63" s="54"/>
      <c r="V63" s="54"/>
      <c r="W63" s="54"/>
      <c r="X63" s="54"/>
      <c r="Y63" s="54"/>
      <c r="Z63" s="54"/>
      <c r="AA63" s="54"/>
      <c r="AB63" s="54"/>
      <c r="AC63" s="54"/>
      <c r="AD63" s="51"/>
      <c r="AE63" s="51"/>
      <c r="AF63" s="51"/>
      <c r="AG63" s="52"/>
      <c r="AH63" s="51"/>
      <c r="AI63" s="51"/>
      <c r="AJ63" s="51"/>
      <c r="AK63" s="51"/>
    </row>
    <row r="64" spans="1:37" x14ac:dyDescent="0.2">
      <c r="O64" s="324" t="str">
        <f>IF(Francais,"Préparée par","Issued by")</f>
        <v>Issued by</v>
      </c>
      <c r="P64" s="322" t="str">
        <f>Quote!O64</f>
        <v>Diane Garant</v>
      </c>
      <c r="Q64" s="321"/>
      <c r="R64" s="76" t="str">
        <f>"Page 1 " &amp; IF(Francais,"de ","of ") &amp; IF(ROWS(PList!$X$23:$X$53)&gt;COUNTBLANK(PList!$X$23:$X$53),IF(NOT(QUOTE_Split_SoftwareHardware),2,1),1)</f>
        <v>Page 1 of 1</v>
      </c>
      <c r="T64" s="51"/>
      <c r="U64" s="51"/>
      <c r="V64" s="51"/>
      <c r="W64" s="51"/>
      <c r="X64" s="51"/>
      <c r="Y64" s="51"/>
      <c r="Z64" s="51"/>
      <c r="AA64" s="51"/>
      <c r="AB64" s="51"/>
      <c r="AC64" s="51"/>
      <c r="AD64" s="51"/>
      <c r="AE64" s="51"/>
      <c r="AF64" s="51"/>
      <c r="AG64" s="51"/>
      <c r="AH64" s="324" t="str">
        <f>IF(Francais,"Préparée par","Issued by")</f>
        <v>Issued by</v>
      </c>
      <c r="AI64" s="322" t="str">
        <f>P64</f>
        <v>Diane Garant</v>
      </c>
      <c r="AJ64" s="51"/>
      <c r="AK64" s="104" t="str">
        <f>SUBSTITUTE("Page 2 " &amp; IF(Francais,"de ","of ") &amp; "2","2",IF(NOT(QUOTE_Split_SoftwareHardware),"2","1"))</f>
        <v>Page 2 of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T66" s="51"/>
      <c r="U66" s="51"/>
      <c r="V66" s="51"/>
      <c r="W66" s="51"/>
      <c r="X66" s="51"/>
      <c r="Y66" s="51"/>
      <c r="Z66" s="51"/>
      <c r="AA66" s="51"/>
      <c r="AB66" s="51"/>
      <c r="AC66" s="51"/>
      <c r="AD66" s="51"/>
      <c r="AE66" s="51"/>
      <c r="AF66" s="51"/>
      <c r="AG66" s="51"/>
      <c r="AH66" s="51"/>
      <c r="AI66" s="51"/>
      <c r="AJ66" s="51"/>
      <c r="AK66" s="51"/>
    </row>
  </sheetData>
  <sheetProtection algorithmName="SHA-512" hashValue="ZqO0I82Nu28lVuYhUAigOsXfUQmIz6Ltd7fq9uoYop/iwlLF7YuY9MS38Ypltifw9qCFRu7In9WP0aZ+rDQAkw==" saltValue="QtbxuFbUE1oqjvBP2W7myQ==" spinCount="100000" sheet="1" objects="1" scenarios="1" selectLockedCells="1"/>
  <mergeCells count="234">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 ref="M6:P6"/>
    <mergeCell ref="Q6:R6"/>
    <mergeCell ref="AF6:AI6"/>
    <mergeCell ref="AJ6:AK6"/>
    <mergeCell ref="B9:G10"/>
    <mergeCell ref="I9:L10"/>
    <mergeCell ref="N9:R10"/>
    <mergeCell ref="U9:Z10"/>
    <mergeCell ref="AB9:AE10"/>
    <mergeCell ref="AG9:AK10"/>
    <mergeCell ref="M7:P7"/>
    <mergeCell ref="Q7:R7"/>
    <mergeCell ref="AF7:AI7"/>
    <mergeCell ref="AJ7:AK7"/>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J16:AK16"/>
    <mergeCell ref="B17:G17"/>
    <mergeCell ref="I17:L17"/>
    <mergeCell ref="N17:P17"/>
    <mergeCell ref="Q17:R17"/>
    <mergeCell ref="U17:Z17"/>
    <mergeCell ref="AB17:AE17"/>
    <mergeCell ref="N16:P16"/>
    <mergeCell ref="Q16:R16"/>
    <mergeCell ref="AG17:AI17"/>
    <mergeCell ref="AJ17:AK17"/>
    <mergeCell ref="B16:G16"/>
    <mergeCell ref="I16:L16"/>
    <mergeCell ref="U16:Z16"/>
    <mergeCell ref="AB16:AE16"/>
    <mergeCell ref="D19:G19"/>
    <mergeCell ref="I19:J19"/>
    <mergeCell ref="AB19:AC19"/>
    <mergeCell ref="U19:V19"/>
    <mergeCell ref="W19:Z19"/>
    <mergeCell ref="K19:L19"/>
    <mergeCell ref="AD19:AE19"/>
    <mergeCell ref="Q18:R19"/>
    <mergeCell ref="AG16:AI16"/>
    <mergeCell ref="AJ18:AK19"/>
    <mergeCell ref="E23:N23"/>
    <mergeCell ref="O23:P23"/>
    <mergeCell ref="X23:AG23"/>
    <mergeCell ref="AH23:AI23"/>
    <mergeCell ref="E24:N24"/>
    <mergeCell ref="O24:P24"/>
    <mergeCell ref="X24:AG24"/>
    <mergeCell ref="AH24:AI24"/>
    <mergeCell ref="E21:F21"/>
    <mergeCell ref="O21:P21"/>
    <mergeCell ref="X21:Y21"/>
    <mergeCell ref="AH21:AI21"/>
    <mergeCell ref="E22:N22"/>
    <mergeCell ref="X22:AG22"/>
    <mergeCell ref="O22:P22"/>
    <mergeCell ref="AH22:AI22"/>
    <mergeCell ref="C18:G18"/>
    <mergeCell ref="J18:L18"/>
    <mergeCell ref="N18:P18"/>
    <mergeCell ref="V18:Z18"/>
    <mergeCell ref="AC18:AE18"/>
    <mergeCell ref="AG18:AI18"/>
    <mergeCell ref="B19:C19"/>
    <mergeCell ref="E27:N27"/>
    <mergeCell ref="O27:P27"/>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E31:N31"/>
    <mergeCell ref="O31:P31"/>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E35:N35"/>
    <mergeCell ref="O35:P35"/>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E39:N39"/>
    <mergeCell ref="O39:P39"/>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E43:N43"/>
    <mergeCell ref="O43:P43"/>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E47:N47"/>
    <mergeCell ref="O47:P47"/>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E51:N51"/>
    <mergeCell ref="O51:P51"/>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A56:R60"/>
    <mergeCell ref="T56:AK60"/>
    <mergeCell ref="F54:N54"/>
    <mergeCell ref="O54:P54"/>
    <mergeCell ref="Y54:AG54"/>
    <mergeCell ref="AH54:AI54"/>
    <mergeCell ref="E53:N53"/>
    <mergeCell ref="O53:P53"/>
    <mergeCell ref="X53:AG53"/>
    <mergeCell ref="AH53:AI53"/>
  </mergeCells>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0E7C-D977-4701-BDBA-F9A3A15EE211}">
  <sheetPr codeName="Sheet23">
    <tabColor theme="1" tint="0.34998626667073579"/>
  </sheetPr>
  <dimension ref="A1:AL116"/>
  <sheetViews>
    <sheetView showGridLines="0" zoomScale="140" zoomScaleNormal="140" workbookViewId="0">
      <selection activeCell="Q1" sqref="Q1:R1"/>
    </sheetView>
  </sheetViews>
  <sheetFormatPr baseColWidth="10" defaultColWidth="8.6640625" defaultRowHeight="16" x14ac:dyDescent="0.2"/>
  <cols>
    <col min="1" max="1" width="0.6640625" style="51" customWidth="1"/>
    <col min="2" max="4" width="3.5" style="51" customWidth="1"/>
    <col min="5" max="5" width="6.6640625" style="51" customWidth="1"/>
    <col min="6" max="6" width="3.5" style="51" customWidth="1"/>
    <col min="7" max="7" width="8.6640625" style="51" customWidth="1"/>
    <col min="8" max="8" width="1.1640625" style="51" customWidth="1"/>
    <col min="9" max="9" width="3.5" style="51" customWidth="1"/>
    <col min="10" max="10" width="11.1640625" style="51" customWidth="1"/>
    <col min="11" max="11" width="3.5" style="51" customWidth="1"/>
    <col min="12" max="12" width="11.1640625" style="51" customWidth="1"/>
    <col min="13" max="13" width="1.1640625" style="51" customWidth="1"/>
    <col min="14" max="14" width="7.6640625" style="51" customWidth="1"/>
    <col min="15" max="15" width="2.6640625" style="51" customWidth="1"/>
    <col min="16" max="16" width="5.1640625" style="51" customWidth="1"/>
    <col min="17" max="17" width="7.5" style="51" customWidth="1"/>
    <col min="18" max="18" width="9.5" style="51" customWidth="1"/>
    <col min="19" max="20" width="0.6640625" customWidth="1"/>
    <col min="21" max="23" width="3.5" customWidth="1"/>
    <col min="24" max="24" width="6.6640625" customWidth="1"/>
    <col min="25" max="25" width="3.5" customWidth="1"/>
    <col min="26" max="26" width="8.6640625" customWidth="1"/>
    <col min="27" max="27" width="1.1640625" customWidth="1"/>
    <col min="28" max="28" width="3.5" customWidth="1"/>
    <col min="29" max="29" width="11.1640625" customWidth="1"/>
    <col min="30" max="30" width="3.5" customWidth="1"/>
    <col min="31" max="31" width="11.1640625" customWidth="1"/>
    <col min="32" max="32" width="1.1640625" customWidth="1"/>
    <col min="33" max="33" width="7.6640625" customWidth="1"/>
    <col min="34" max="34" width="2.6640625" customWidth="1"/>
    <col min="35" max="35" width="5.1640625" customWidth="1"/>
    <col min="36" max="36" width="7.5" customWidth="1"/>
    <col min="37" max="37" width="9.5" customWidth="1"/>
    <col min="38" max="38" width="0.6640625" customWidth="1"/>
  </cols>
  <sheetData>
    <row r="1" spans="1:37" ht="20" x14ac:dyDescent="0.2">
      <c r="N1" s="53"/>
      <c r="P1" s="86" t="str">
        <f>IF(Francais,"FACTURE COMMERCIALE#","COMMERCIAL INVOICE #")</f>
        <v>COMMERCIAL INVOICE #</v>
      </c>
      <c r="Q1" s="821">
        <f>Inv!Q1</f>
        <v>0</v>
      </c>
      <c r="R1" s="821"/>
      <c r="T1" s="51"/>
      <c r="U1" s="51"/>
      <c r="V1" s="51"/>
      <c r="W1" s="51"/>
      <c r="X1" s="51"/>
      <c r="Y1" s="51"/>
      <c r="Z1" s="51"/>
      <c r="AA1" s="51"/>
      <c r="AB1" s="51"/>
      <c r="AC1" s="51"/>
      <c r="AD1" s="51"/>
      <c r="AE1" s="51"/>
      <c r="AF1" s="51"/>
      <c r="AG1" s="53"/>
      <c r="AH1" s="51"/>
      <c r="AI1" s="86" t="str">
        <f>P1</f>
        <v>COMMERCIAL INVOICE #</v>
      </c>
      <c r="AJ1" s="769"/>
      <c r="AK1" s="769"/>
    </row>
    <row r="2" spans="1:37" ht="12" customHeight="1" x14ac:dyDescent="0.2">
      <c r="M2" s="752" t="s">
        <v>18</v>
      </c>
      <c r="N2" s="752"/>
      <c r="O2" s="752"/>
      <c r="P2" s="752"/>
      <c r="Q2" s="745" t="str">
        <f ca="1">TEXT(TODAY(),IF(Francais,"[$-0C0C]d mmmm yyyy","[$-1009]mmmm d, yyyy"))</f>
        <v>February 10, 2025</v>
      </c>
      <c r="R2" s="745"/>
      <c r="T2" s="51"/>
      <c r="U2" s="51"/>
      <c r="V2" s="51"/>
      <c r="W2" s="51"/>
      <c r="X2" s="51"/>
      <c r="Y2" s="51"/>
      <c r="Z2" s="51"/>
      <c r="AA2" s="51"/>
      <c r="AB2" s="51"/>
      <c r="AC2" s="51"/>
      <c r="AD2" s="51"/>
      <c r="AE2" s="51"/>
      <c r="AF2" s="752" t="str">
        <f>M2</f>
        <v>Date</v>
      </c>
      <c r="AG2" s="752"/>
      <c r="AH2" s="752"/>
      <c r="AI2" s="752"/>
      <c r="AJ2" s="745" t="str">
        <f ca="1">Q2</f>
        <v>February 10, 2025</v>
      </c>
      <c r="AK2" s="745"/>
    </row>
    <row r="3" spans="1:37" ht="12" customHeight="1" x14ac:dyDescent="0.2">
      <c r="B3" s="58"/>
      <c r="C3" s="58"/>
      <c r="D3" s="58"/>
      <c r="J3" s="443" t="str">
        <f>IF(Distributeurs_Rabais*0,IF(Francais,"Prix","Distributor"),"")</f>
        <v/>
      </c>
      <c r="M3" s="752" t="str">
        <f>IF(Francais,"# Client","Customer #")</f>
        <v>Customer #</v>
      </c>
      <c r="N3" s="752"/>
      <c r="O3" s="752"/>
      <c r="P3" s="752"/>
      <c r="Q3" s="761" t="str">
        <f>IF(ISBLANK(Quote!P6),"",Quote!P6)</f>
        <v/>
      </c>
      <c r="R3" s="761"/>
      <c r="T3" s="51"/>
      <c r="U3" s="58"/>
      <c r="V3" s="58"/>
      <c r="W3" s="58"/>
      <c r="X3" s="51"/>
      <c r="Y3" s="51"/>
      <c r="Z3" s="51"/>
      <c r="AA3" s="51"/>
      <c r="AB3" s="51"/>
      <c r="AC3" s="443" t="str">
        <f>IF(Distributeurs_Rabais*0,IF(Francais,"Prix","Distributor"),"")</f>
        <v/>
      </c>
      <c r="AD3" s="51"/>
      <c r="AE3" s="51"/>
      <c r="AF3" s="752" t="str">
        <f>M3</f>
        <v>Customer #</v>
      </c>
      <c r="AG3" s="752"/>
      <c r="AH3" s="752"/>
      <c r="AI3" s="752"/>
      <c r="AJ3" s="761" t="str">
        <f>IF(ISBLANK(Q3),"",Q3)</f>
        <v/>
      </c>
      <c r="AK3" s="761"/>
    </row>
    <row r="4" spans="1:37" ht="12" customHeight="1" x14ac:dyDescent="0.2">
      <c r="B4" s="59"/>
      <c r="C4" s="59"/>
      <c r="D4" s="59"/>
      <c r="J4" s="443" t="str">
        <f>IF(Distributeurs_Rabais*0,IF(Francais,"Distributeur","Prices"),"")</f>
        <v/>
      </c>
      <c r="M4" s="752"/>
      <c r="N4" s="752"/>
      <c r="O4" s="752"/>
      <c r="P4" s="752"/>
      <c r="Q4" s="752"/>
      <c r="R4" s="752"/>
      <c r="T4" s="51"/>
      <c r="U4" s="59"/>
      <c r="V4" s="59"/>
      <c r="W4" s="59"/>
      <c r="X4" s="51"/>
      <c r="Y4" s="51"/>
      <c r="Z4" s="51"/>
      <c r="AA4" s="51"/>
      <c r="AB4" s="51"/>
      <c r="AC4" s="443" t="str">
        <f>IF(Distributeurs_Rabais*0,IF(Francais,"Distributeur","Prices"),"")</f>
        <v/>
      </c>
      <c r="AD4" s="51"/>
      <c r="AE4" s="51"/>
      <c r="AF4" s="752"/>
      <c r="AG4" s="752"/>
      <c r="AH4" s="752"/>
      <c r="AI4" s="752"/>
      <c r="AJ4" s="761" t="str">
        <f>IF(ISBLANK(Q4),"",Q4)</f>
        <v/>
      </c>
      <c r="AK4" s="761"/>
    </row>
    <row r="5" spans="1:37" ht="12" customHeight="1" x14ac:dyDescent="0.2">
      <c r="B5" s="59"/>
      <c r="C5" s="59"/>
      <c r="D5" s="59"/>
      <c r="I5" s="818" t="str">
        <f>REPT(" ",4) &amp; IF(NOT(Francais),"Same Client","Même Client")</f>
        <v xml:space="preserve">    Same Client</v>
      </c>
      <c r="J5" s="818"/>
      <c r="M5" s="752" t="str">
        <f>IF(Francais,"Devise","Currency")</f>
        <v>Currency</v>
      </c>
      <c r="N5" s="752"/>
      <c r="O5" s="752"/>
      <c r="P5" s="752"/>
      <c r="Q5" s="760">
        <f>R61</f>
        <v>0</v>
      </c>
      <c r="R5" s="760"/>
      <c r="T5" s="51"/>
      <c r="U5" s="59"/>
      <c r="V5" s="59"/>
      <c r="W5" s="59"/>
      <c r="X5" s="51"/>
      <c r="Y5" s="51"/>
      <c r="Z5" s="51"/>
      <c r="AA5" s="51"/>
      <c r="AB5" s="51"/>
      <c r="AD5" s="51"/>
      <c r="AE5" s="51"/>
      <c r="AF5" s="752" t="str">
        <f>M5</f>
        <v>Currency</v>
      </c>
      <c r="AG5" s="752"/>
      <c r="AH5" s="752"/>
      <c r="AI5" s="752"/>
      <c r="AJ5" s="770">
        <f>Q5</f>
        <v>0</v>
      </c>
      <c r="AK5" s="770"/>
    </row>
    <row r="6" spans="1:37" ht="12" customHeight="1" x14ac:dyDescent="0.2">
      <c r="I6" s="818" t="str">
        <f>REPT(" ",4) &amp; IF(NOT(Francais),"Itemized Prices","Prix itémisés")</f>
        <v xml:space="preserve">    Itemized Prices</v>
      </c>
      <c r="J6" s="818"/>
      <c r="K6" s="818" t="str">
        <f>REPT(" ",4) &amp; IF(NOT(Francais),"Filled by customer","Rempli par client")</f>
        <v xml:space="preserve">    Filled by customer</v>
      </c>
      <c r="L6" s="818"/>
      <c r="M6" s="752" t="str">
        <f>IF(Francais,"Terme","Payment Terms")</f>
        <v>Payment Terms</v>
      </c>
      <c r="N6" s="752"/>
      <c r="O6" s="752"/>
      <c r="P6" s="752"/>
      <c r="Q6" s="760" t="str">
        <f>Quote!P5</f>
        <v>in ADVANCE</v>
      </c>
      <c r="R6" s="760"/>
      <c r="T6" s="51"/>
      <c r="U6" s="51"/>
      <c r="V6" s="51"/>
      <c r="W6" s="51"/>
      <c r="X6" s="51"/>
      <c r="Y6" s="51"/>
      <c r="Z6" s="51"/>
      <c r="AA6" s="51"/>
      <c r="AB6" s="51"/>
      <c r="AC6" s="51"/>
      <c r="AD6" s="51"/>
      <c r="AE6" s="51"/>
      <c r="AF6" s="752" t="str">
        <f>M6</f>
        <v>Payment Terms</v>
      </c>
      <c r="AG6" s="752"/>
      <c r="AH6" s="752"/>
      <c r="AI6" s="752"/>
      <c r="AJ6" s="770" t="str">
        <f>Q6</f>
        <v>in ADVANCE</v>
      </c>
      <c r="AK6" s="770"/>
    </row>
    <row r="7" spans="1:37" ht="12" customHeight="1" x14ac:dyDescent="0.2">
      <c r="B7" s="60"/>
      <c r="C7" s="60"/>
      <c r="D7" s="60"/>
      <c r="I7" s="818" t="str">
        <f>REPT(" ",4) &amp; IF(NOT(Francais),"Split in 2 Invoices","Séparer en 2 factures")</f>
        <v xml:space="preserve">    Split in 2 Invoices</v>
      </c>
      <c r="J7" s="818"/>
      <c r="K7" s="818" t="str">
        <f>REPT(" ",4) &amp; IF(NOT(Francais),"Internet Download","Téléchargement")</f>
        <v xml:space="preserve">    Internet Download</v>
      </c>
      <c r="L7" s="818"/>
      <c r="M7" s="752" t="str">
        <f>IF(Francais,"# PO","PO #")</f>
        <v>PO #</v>
      </c>
      <c r="N7" s="752"/>
      <c r="O7" s="752"/>
      <c r="P7" s="752"/>
      <c r="Q7" s="761" t="str">
        <f>IF(ISBLANK(Quote!P7),"",Quote!P7)</f>
        <v/>
      </c>
      <c r="R7" s="761"/>
      <c r="T7" s="51"/>
      <c r="U7" s="60"/>
      <c r="V7" s="60"/>
      <c r="W7" s="60"/>
      <c r="X7" s="51"/>
      <c r="Y7" s="51"/>
      <c r="Z7" s="51"/>
      <c r="AA7" s="51"/>
      <c r="AB7" s="51"/>
      <c r="AC7" s="51"/>
      <c r="AD7" s="51"/>
      <c r="AE7" s="51"/>
      <c r="AF7" s="752" t="str">
        <f>IF(Francais,"# PO","PO #")</f>
        <v>PO #</v>
      </c>
      <c r="AG7" s="752"/>
      <c r="AH7" s="752"/>
      <c r="AI7" s="752"/>
      <c r="AJ7" s="761" t="str">
        <f>IF(ISBLANK(Q7),"",Q7)</f>
        <v/>
      </c>
      <c r="AK7" s="761"/>
    </row>
    <row r="8" spans="1:37" ht="3.5" customHeight="1" x14ac:dyDescent="0.2">
      <c r="T8" s="51"/>
      <c r="U8" s="51"/>
      <c r="V8" s="51"/>
      <c r="W8" s="51"/>
      <c r="X8" s="51"/>
      <c r="Y8" s="51"/>
      <c r="Z8" s="51"/>
      <c r="AA8" s="51"/>
      <c r="AB8" s="51"/>
      <c r="AC8" s="51"/>
      <c r="AD8" s="51"/>
      <c r="AE8" s="51"/>
      <c r="AF8" s="51"/>
      <c r="AG8" s="51"/>
      <c r="AH8" s="51"/>
      <c r="AI8" s="51"/>
      <c r="AJ8" s="51"/>
      <c r="AK8" s="51"/>
    </row>
    <row r="9" spans="1:37" s="3" customFormat="1" ht="3.5" customHeight="1" x14ac:dyDescent="0.15">
      <c r="A9" s="61"/>
      <c r="B9" s="751" t="str">
        <f>IF(Francais," FACTURATION:"," BILL TO:")</f>
        <v xml:space="preserve"> BILL TO:</v>
      </c>
      <c r="C9" s="751"/>
      <c r="D9" s="751"/>
      <c r="E9" s="751"/>
      <c r="F9" s="751"/>
      <c r="G9" s="751"/>
      <c r="H9" s="134"/>
      <c r="I9" s="751" t="str">
        <f>IF(Francais," LIVRAISON:"," SHIP TO:")</f>
        <v xml:space="preserve"> SHIP TO:</v>
      </c>
      <c r="J9" s="751"/>
      <c r="K9" s="751"/>
      <c r="L9" s="751"/>
      <c r="M9" s="127"/>
      <c r="N9" s="751" t="str">
        <f>IF(Francais," DÉTAILS D'EXPÉDITION:"," SHIPPING DETAILS:")</f>
        <v xml:space="preserve"> SHIPPING DETAILS:</v>
      </c>
      <c r="O9" s="751"/>
      <c r="P9" s="751"/>
      <c r="Q9" s="751"/>
      <c r="R9" s="751"/>
      <c r="T9" s="61"/>
      <c r="U9" s="751" t="str">
        <f>B9</f>
        <v xml:space="preserve"> BILL TO:</v>
      </c>
      <c r="V9" s="751"/>
      <c r="W9" s="751"/>
      <c r="X9" s="751"/>
      <c r="Y9" s="751"/>
      <c r="Z9" s="751"/>
      <c r="AA9" s="134"/>
      <c r="AB9" s="751" t="str">
        <f>I9</f>
        <v xml:space="preserve"> SHIP TO:</v>
      </c>
      <c r="AC9" s="751"/>
      <c r="AD9" s="751"/>
      <c r="AE9" s="751"/>
      <c r="AF9" s="127"/>
      <c r="AG9" s="751" t="str">
        <f>N9</f>
        <v xml:space="preserve"> SHIPPING DETAILS:</v>
      </c>
      <c r="AH9" s="751"/>
      <c r="AI9" s="751"/>
      <c r="AJ9" s="751"/>
      <c r="AK9" s="751"/>
    </row>
    <row r="10" spans="1:37" s="3" customFormat="1" x14ac:dyDescent="0.15">
      <c r="A10" s="61"/>
      <c r="B10" s="751"/>
      <c r="C10" s="751"/>
      <c r="D10" s="751"/>
      <c r="E10" s="751"/>
      <c r="F10" s="751"/>
      <c r="G10" s="751"/>
      <c r="H10" s="134"/>
      <c r="I10" s="751"/>
      <c r="J10" s="751"/>
      <c r="K10" s="751"/>
      <c r="L10" s="751"/>
      <c r="M10" s="127"/>
      <c r="N10" s="751"/>
      <c r="O10" s="751"/>
      <c r="P10" s="751"/>
      <c r="Q10" s="751"/>
      <c r="R10" s="751"/>
      <c r="T10" s="61"/>
      <c r="U10" s="751"/>
      <c r="V10" s="751"/>
      <c r="W10" s="751"/>
      <c r="X10" s="751"/>
      <c r="Y10" s="751"/>
      <c r="Z10" s="751"/>
      <c r="AA10" s="134"/>
      <c r="AB10" s="751"/>
      <c r="AC10" s="751"/>
      <c r="AD10" s="751"/>
      <c r="AE10" s="751"/>
      <c r="AF10" s="127"/>
      <c r="AG10" s="751"/>
      <c r="AH10" s="751"/>
      <c r="AI10" s="751"/>
      <c r="AJ10" s="751"/>
      <c r="AK10" s="751"/>
    </row>
    <row r="11" spans="1:37" s="3" customFormat="1" ht="3.5" customHeight="1" x14ac:dyDescent="0.15">
      <c r="A11" s="61"/>
      <c r="B11" s="128"/>
      <c r="C11" s="128"/>
      <c r="D11" s="128"/>
      <c r="E11" s="129"/>
      <c r="F11" s="129"/>
      <c r="G11" s="129"/>
      <c r="H11" s="134"/>
      <c r="I11" s="128"/>
      <c r="J11" s="127"/>
      <c r="K11" s="127"/>
      <c r="L11" s="127"/>
      <c r="M11" s="127"/>
      <c r="N11" s="128"/>
      <c r="O11" s="129"/>
      <c r="P11" s="129"/>
      <c r="Q11" s="127"/>
      <c r="R11" s="127"/>
      <c r="T11" s="61"/>
      <c r="U11" s="128"/>
      <c r="V11" s="128"/>
      <c r="W11" s="128"/>
      <c r="X11" s="129"/>
      <c r="Y11" s="129"/>
      <c r="Z11" s="129"/>
      <c r="AA11" s="134"/>
      <c r="AB11" s="128"/>
      <c r="AC11" s="127"/>
      <c r="AD11" s="127"/>
      <c r="AE11" s="127"/>
      <c r="AF11" s="127"/>
      <c r="AG11" s="128"/>
      <c r="AH11" s="129"/>
      <c r="AI11" s="129"/>
      <c r="AJ11" s="127"/>
      <c r="AK11" s="127"/>
    </row>
    <row r="12" spans="1:37" ht="11.25" customHeight="1" x14ac:dyDescent="0.2">
      <c r="B12" s="743" t="str">
        <f>IF(ISBLANK(Home!B10),"",Home!B10)</f>
        <v/>
      </c>
      <c r="C12" s="743"/>
      <c r="D12" s="743"/>
      <c r="E12" s="743"/>
      <c r="F12" s="743"/>
      <c r="G12" s="743"/>
      <c r="H12" s="134"/>
      <c r="I12" s="743" t="str">
        <f>IF(ISBLANK(Home!L10),"",Home!L10)</f>
        <v/>
      </c>
      <c r="J12" s="743"/>
      <c r="K12" s="743"/>
      <c r="L12" s="743"/>
      <c r="M12" s="130"/>
      <c r="N12" s="743" t="str">
        <f>IF(Francais,"Transporteur","Ship via")</f>
        <v>Ship via</v>
      </c>
      <c r="O12" s="743"/>
      <c r="P12" s="743"/>
      <c r="Q12" s="743" t="str">
        <f>IF(ISBLANK(Quote!P12),"",Quote!P12)</f>
        <v/>
      </c>
      <c r="R12" s="743"/>
      <c r="T12" s="51"/>
      <c r="U12" s="743" t="str">
        <f t="shared" ref="U12:U17" si="0">B12</f>
        <v/>
      </c>
      <c r="V12" s="743"/>
      <c r="W12" s="743"/>
      <c r="X12" s="743"/>
      <c r="Y12" s="743"/>
      <c r="Z12" s="743"/>
      <c r="AA12" s="134"/>
      <c r="AB12" s="743" t="str">
        <f t="shared" ref="AB12:AB17" si="1">I12</f>
        <v/>
      </c>
      <c r="AC12" s="743"/>
      <c r="AD12" s="743"/>
      <c r="AE12" s="743"/>
      <c r="AF12" s="130"/>
      <c r="AG12" s="743" t="str">
        <f t="shared" ref="AG12:AG18" si="2">N12</f>
        <v>Ship via</v>
      </c>
      <c r="AH12" s="743"/>
      <c r="AI12" s="743"/>
      <c r="AJ12" s="743" t="str">
        <f t="shared" ref="AJ12:AJ17" si="3">IF(ISBLANK(Q12),"",Q12)</f>
        <v/>
      </c>
      <c r="AK12" s="743"/>
    </row>
    <row r="13" spans="1:37" ht="11.25" customHeight="1" x14ac:dyDescent="0.2">
      <c r="B13" s="743" t="str">
        <f>IF(ISBLANK(Home!B11),"",Home!B11)</f>
        <v/>
      </c>
      <c r="C13" s="743"/>
      <c r="D13" s="743"/>
      <c r="E13" s="743"/>
      <c r="F13" s="743"/>
      <c r="G13" s="743"/>
      <c r="H13" s="134"/>
      <c r="I13" s="743" t="str">
        <f>IF(ISBLANK(Home!L11),"",Home!L11)</f>
        <v/>
      </c>
      <c r="J13" s="743"/>
      <c r="K13" s="743"/>
      <c r="L13" s="743"/>
      <c r="M13" s="130"/>
      <c r="N13" s="743" t="s">
        <v>20</v>
      </c>
      <c r="O13" s="743"/>
      <c r="P13" s="743"/>
      <c r="Q13" s="743" t="str">
        <f>IF(ISBLANK(Quote!P13),"",Quote!P13)</f>
        <v/>
      </c>
      <c r="R13" s="743"/>
      <c r="T13" s="51"/>
      <c r="U13" s="743" t="str">
        <f t="shared" si="0"/>
        <v/>
      </c>
      <c r="V13" s="743"/>
      <c r="W13" s="743"/>
      <c r="X13" s="743"/>
      <c r="Y13" s="743"/>
      <c r="Z13" s="743"/>
      <c r="AA13" s="134"/>
      <c r="AB13" s="743" t="str">
        <f t="shared" si="1"/>
        <v/>
      </c>
      <c r="AC13" s="743"/>
      <c r="AD13" s="743"/>
      <c r="AE13" s="743"/>
      <c r="AF13" s="130"/>
      <c r="AG13" s="743" t="str">
        <f t="shared" si="2"/>
        <v>Incoterms</v>
      </c>
      <c r="AH13" s="743"/>
      <c r="AI13" s="743"/>
      <c r="AJ13" s="743" t="str">
        <f t="shared" si="3"/>
        <v/>
      </c>
      <c r="AK13" s="743"/>
    </row>
    <row r="14" spans="1:37" ht="11.25" customHeight="1" x14ac:dyDescent="0.2">
      <c r="B14" s="743" t="str">
        <f>IF(ISBLANK(Home!B12),"",Home!B12)</f>
        <v/>
      </c>
      <c r="C14" s="743"/>
      <c r="D14" s="743"/>
      <c r="E14" s="743"/>
      <c r="F14" s="743"/>
      <c r="G14" s="743"/>
      <c r="H14" s="134"/>
      <c r="I14" s="743" t="str">
        <f>IF(ISBLANK(Home!L12),"",Home!L12)</f>
        <v/>
      </c>
      <c r="J14" s="743"/>
      <c r="K14" s="743"/>
      <c r="L14" s="743"/>
      <c r="M14" s="130"/>
      <c r="N14" s="743" t="str">
        <f>IF(Francais,"Poids volumétrique (lb)","Billing WT (lbs)")</f>
        <v>Billing WT (lbs)</v>
      </c>
      <c r="O14" s="743"/>
      <c r="P14" s="743"/>
      <c r="Q14" s="743">
        <f>IF(ISBLANK(Quote!P14),"",Quote!P14)</f>
        <v>0</v>
      </c>
      <c r="R14" s="743"/>
      <c r="T14" s="51"/>
      <c r="U14" s="743" t="str">
        <f t="shared" si="0"/>
        <v/>
      </c>
      <c r="V14" s="743"/>
      <c r="W14" s="743"/>
      <c r="X14" s="743"/>
      <c r="Y14" s="743"/>
      <c r="Z14" s="743"/>
      <c r="AA14" s="134"/>
      <c r="AB14" s="743" t="str">
        <f t="shared" si="1"/>
        <v/>
      </c>
      <c r="AC14" s="743"/>
      <c r="AD14" s="743"/>
      <c r="AE14" s="743"/>
      <c r="AF14" s="130"/>
      <c r="AG14" s="743" t="str">
        <f t="shared" si="2"/>
        <v>Billing WT (lbs)</v>
      </c>
      <c r="AH14" s="743"/>
      <c r="AI14" s="743"/>
      <c r="AJ14" s="743">
        <f>IF(NOT(QUOTE_Split_SoftwareHardware),
IF(ISBLANK(Q14),"",Q14),
TotalWeight)</f>
        <v>0</v>
      </c>
      <c r="AK14" s="743"/>
    </row>
    <row r="15" spans="1:37" ht="11.25" customHeight="1" x14ac:dyDescent="0.2">
      <c r="B15" s="743" t="str">
        <f>HOME_City &amp; ", " &amp; HOME_Province &amp; " " &amp; HOME_Zip</f>
        <v xml:space="preserve">,  </v>
      </c>
      <c r="C15" s="743"/>
      <c r="D15" s="743"/>
      <c r="E15" s="743"/>
      <c r="F15" s="743"/>
      <c r="G15" s="743"/>
      <c r="H15" s="134"/>
      <c r="I15" s="743" t="str">
        <f>HOME_City_Ship &amp; ", " &amp; HOME_Province_Ship &amp; " " &amp; HOME_Zip_Ship</f>
        <v xml:space="preserve">,  </v>
      </c>
      <c r="J15" s="743"/>
      <c r="K15" s="743"/>
      <c r="L15" s="743"/>
      <c r="M15" s="130"/>
      <c r="N15" s="743" t="str">
        <f>IF(Francais,"Poids brut (lb)","Gross WT (lbs)")</f>
        <v>Gross WT (lbs)</v>
      </c>
      <c r="O15" s="743"/>
      <c r="P15" s="743"/>
      <c r="Q15" s="743" t="str">
        <f>IF(ISBLANK(Quote!P15),"",Quote!P15)</f>
        <v/>
      </c>
      <c r="R15" s="743"/>
      <c r="T15" s="51"/>
      <c r="U15" s="743" t="str">
        <f t="shared" si="0"/>
        <v xml:space="preserve">,  </v>
      </c>
      <c r="V15" s="743"/>
      <c r="W15" s="743"/>
      <c r="X15" s="743"/>
      <c r="Y15" s="743"/>
      <c r="Z15" s="743"/>
      <c r="AA15" s="134"/>
      <c r="AB15" s="743" t="str">
        <f t="shared" si="1"/>
        <v xml:space="preserve">,  </v>
      </c>
      <c r="AC15" s="743"/>
      <c r="AD15" s="743"/>
      <c r="AE15" s="743"/>
      <c r="AF15" s="130"/>
      <c r="AG15" s="743" t="str">
        <f t="shared" si="2"/>
        <v>Gross WT (lbs)</v>
      </c>
      <c r="AH15" s="743"/>
      <c r="AI15" s="743"/>
      <c r="AJ15" s="743" t="str">
        <f t="shared" si="3"/>
        <v/>
      </c>
      <c r="AK15" s="743"/>
    </row>
    <row r="16" spans="1:37" ht="11.25" customHeight="1" x14ac:dyDescent="0.2">
      <c r="B16" s="743" t="str">
        <f>IF(ISBLANK(Home!B14),"",Home!B14)</f>
        <v/>
      </c>
      <c r="C16" s="743"/>
      <c r="D16" s="743"/>
      <c r="E16" s="743"/>
      <c r="F16" s="743"/>
      <c r="G16" s="743"/>
      <c r="H16" s="134"/>
      <c r="I16" s="743" t="str">
        <f>IF(ISBLANK(Home!L14),"",Home!L14)</f>
        <v/>
      </c>
      <c r="J16" s="743"/>
      <c r="K16" s="743"/>
      <c r="L16" s="743"/>
      <c r="M16" s="130"/>
      <c r="N16" s="743" t="str">
        <f>IF(Francais,"Nombre de colis","Total Package(s)")</f>
        <v>Total Package(s)</v>
      </c>
      <c r="O16" s="743"/>
      <c r="P16" s="743"/>
      <c r="Q16" s="743">
        <f>IF(ISBLANK(Quote!P16),"",Quote!P16)</f>
        <v>0</v>
      </c>
      <c r="R16" s="743"/>
      <c r="T16" s="51"/>
      <c r="U16" s="743" t="str">
        <f>B16</f>
        <v/>
      </c>
      <c r="V16" s="743"/>
      <c r="W16" s="743"/>
      <c r="X16" s="743"/>
      <c r="Y16" s="743"/>
      <c r="Z16" s="743"/>
      <c r="AA16" s="134"/>
      <c r="AB16" s="743" t="str">
        <f>I16</f>
        <v/>
      </c>
      <c r="AC16" s="743"/>
      <c r="AD16" s="743"/>
      <c r="AE16" s="743"/>
      <c r="AF16" s="130"/>
      <c r="AG16" s="743" t="str">
        <f t="shared" si="2"/>
        <v>Total Package(s)</v>
      </c>
      <c r="AH16" s="743"/>
      <c r="AI16" s="743"/>
      <c r="AJ16" s="743">
        <f>IF(NOT(QUOTE_Split_SoftwareHardware),
IF(ISBLANK(Q16),"",Q16),
TotalPackages)</f>
        <v>0</v>
      </c>
      <c r="AK16" s="743"/>
    </row>
    <row r="17" spans="1:37" ht="11.25" customHeight="1" x14ac:dyDescent="0.2">
      <c r="B17" s="754" t="str">
        <f>"Contact: "&amp;Home!B9&amp;" "&amp;Home!F9&amp;" "&amp;Home!H9</f>
        <v xml:space="preserve">Contact:   </v>
      </c>
      <c r="C17" s="754"/>
      <c r="D17" s="754"/>
      <c r="E17" s="754"/>
      <c r="F17" s="754"/>
      <c r="G17" s="754"/>
      <c r="H17" s="137"/>
      <c r="I17" s="754" t="str">
        <f>"Contact: "&amp;Home!L9&amp;" "&amp;Home!P9&amp;" "&amp;Home!R9</f>
        <v xml:space="preserve">Contact:   </v>
      </c>
      <c r="J17" s="754"/>
      <c r="K17" s="754"/>
      <c r="L17" s="754"/>
      <c r="M17" s="130"/>
      <c r="N17" s="743" t="str">
        <f>IF(Francais,"No. de suivi","Tracking No.")</f>
        <v>Tracking No.</v>
      </c>
      <c r="O17" s="743"/>
      <c r="P17" s="743"/>
      <c r="Q17" s="773"/>
      <c r="R17" s="773"/>
      <c r="T17" s="51"/>
      <c r="U17" s="754" t="str">
        <f t="shared" si="0"/>
        <v xml:space="preserve">Contact:   </v>
      </c>
      <c r="V17" s="754"/>
      <c r="W17" s="754"/>
      <c r="X17" s="754"/>
      <c r="Y17" s="754"/>
      <c r="Z17" s="754"/>
      <c r="AA17" s="137"/>
      <c r="AB17" s="754" t="str">
        <f t="shared" si="1"/>
        <v xml:space="preserve">Contact:   </v>
      </c>
      <c r="AC17" s="754"/>
      <c r="AD17" s="754"/>
      <c r="AE17" s="754"/>
      <c r="AF17" s="130"/>
      <c r="AG17" s="743" t="str">
        <f t="shared" si="2"/>
        <v>Tracking No.</v>
      </c>
      <c r="AH17" s="743"/>
      <c r="AI17" s="743"/>
      <c r="AJ17" s="772" t="str">
        <f t="shared" si="3"/>
        <v/>
      </c>
      <c r="AK17" s="772"/>
    </row>
    <row r="18" spans="1:37" ht="11.25" customHeight="1" x14ac:dyDescent="0.2">
      <c r="B18" s="325" t="str">
        <f>IF(Francais,"Tél.","Tel.")</f>
        <v>Tel.</v>
      </c>
      <c r="C18" s="754" t="str">
        <f>IF(ISBLANK(Home!B15),"",Home!B15)</f>
        <v/>
      </c>
      <c r="D18" s="754"/>
      <c r="E18" s="754"/>
      <c r="F18" s="754"/>
      <c r="G18" s="754"/>
      <c r="H18" s="137"/>
      <c r="I18" s="325" t="str">
        <f>IF(Francais,"Tél.","Tel.")</f>
        <v>Tel.</v>
      </c>
      <c r="J18" s="754" t="str">
        <f>IF(ISBLANK(Home!L15),"",Home!L15)</f>
        <v/>
      </c>
      <c r="K18" s="754"/>
      <c r="L18" s="754"/>
      <c r="M18" s="130"/>
      <c r="N18" s="743" t="str">
        <f>IF(Francais,"Dimensions boîte (po)","Box Dimensions (in)")</f>
        <v>Box Dimensions (in)</v>
      </c>
      <c r="O18" s="743"/>
      <c r="P18" s="743"/>
      <c r="Q18" s="766" t="str">
        <f>IF(ISBLANK(Quote!P17),"",Quote!P17)</f>
        <v/>
      </c>
      <c r="R18" s="766"/>
      <c r="T18" s="51"/>
      <c r="U18" s="325" t="str">
        <f>IF(Francais,"Tél.","Tel.")</f>
        <v>Tel.</v>
      </c>
      <c r="V18" s="759" t="str">
        <f>C18</f>
        <v/>
      </c>
      <c r="W18" s="759"/>
      <c r="X18" s="754"/>
      <c r="Y18" s="754"/>
      <c r="Z18" s="754"/>
      <c r="AA18" s="137"/>
      <c r="AB18" s="325" t="str">
        <f>IF(Francais,"Tél.","Tel.")</f>
        <v>Tel.</v>
      </c>
      <c r="AC18" s="754" t="str">
        <f>J18</f>
        <v/>
      </c>
      <c r="AD18" s="754"/>
      <c r="AE18" s="754"/>
      <c r="AF18" s="130"/>
      <c r="AG18" s="743" t="str">
        <f t="shared" si="2"/>
        <v>Box Dimensions (in)</v>
      </c>
      <c r="AH18" s="743"/>
      <c r="AI18" s="743"/>
      <c r="AJ18" s="766" t="str">
        <f>IF(NOT(QUOTE_Split_SoftwareHardware),
IF(ISBLANK(Q18),"",Q18),
IF(AND(N_Soft_Upd_Upg_Total&gt;0,TotalWeight=0, QUOTE_InternetDownload),
"PAK",
Vars!N86))</f>
        <v/>
      </c>
      <c r="AK18" s="766"/>
    </row>
    <row r="19" spans="1:37" ht="11" customHeight="1" x14ac:dyDescent="0.2">
      <c r="B19" s="754"/>
      <c r="C19" s="754"/>
      <c r="D19" s="754"/>
      <c r="E19" s="754"/>
      <c r="F19" s="754"/>
      <c r="G19" s="754"/>
      <c r="H19" s="137"/>
      <c r="I19" s="754" t="str">
        <f>IF(Francais,
"#Id Taxes / EORI",
"Tax Id / EORI #"
)</f>
        <v>Tax Id / EORI #</v>
      </c>
      <c r="J19" s="754"/>
      <c r="K19" s="746" t="str">
        <f>IF(ISBLANK(Quote!J19),"",Quote!J19)</f>
        <v/>
      </c>
      <c r="L19" s="746"/>
      <c r="M19" s="325"/>
      <c r="N19" s="325"/>
      <c r="O19" s="325"/>
      <c r="P19" s="130"/>
      <c r="Q19" s="766"/>
      <c r="R19" s="766"/>
      <c r="T19" s="51"/>
      <c r="U19" s="754"/>
      <c r="V19" s="754"/>
      <c r="W19" s="754"/>
      <c r="X19" s="754"/>
      <c r="Y19" s="754"/>
      <c r="Z19" s="754"/>
      <c r="AA19" s="137"/>
      <c r="AB19" s="754" t="str">
        <f>IF(Francais,
"#Id Taxes / EORI",
"Tax Id / EORI #"
)</f>
        <v>Tax Id / EORI #</v>
      </c>
      <c r="AC19" s="754"/>
      <c r="AD19" s="746" t="str">
        <f>IF(ISBLANK(K19),"",K19)</f>
        <v/>
      </c>
      <c r="AE19" s="746"/>
      <c r="AF19" s="325"/>
      <c r="AG19" s="325"/>
      <c r="AH19" s="325"/>
      <c r="AI19" s="130"/>
      <c r="AJ19" s="766"/>
      <c r="AK19" s="766"/>
    </row>
    <row r="20" spans="1:37" ht="2.75" customHeight="1" x14ac:dyDescent="0.2">
      <c r="T20" s="51"/>
      <c r="U20" s="51"/>
      <c r="V20" s="51"/>
      <c r="W20" s="51"/>
      <c r="X20" s="51"/>
      <c r="Y20" s="51"/>
      <c r="Z20" s="51"/>
      <c r="AA20" s="51"/>
      <c r="AB20" s="51"/>
      <c r="AC20" s="51"/>
      <c r="AD20" s="51"/>
      <c r="AE20" s="51"/>
      <c r="AF20" s="51"/>
      <c r="AG20" s="51"/>
      <c r="AH20" s="51"/>
      <c r="AI20" s="51"/>
      <c r="AJ20" s="51"/>
      <c r="AK20" s="51"/>
    </row>
    <row r="21" spans="1:37" s="62" customFormat="1" ht="24" customHeight="1" x14ac:dyDescent="0.15">
      <c r="A21" s="329"/>
      <c r="B21" s="79" t="s">
        <v>38</v>
      </c>
      <c r="C21" s="80" t="str">
        <f>IF(Francais,"QTÉ","QTY")</f>
        <v>QTY</v>
      </c>
      <c r="D21" s="80" t="str">
        <f>IF(Francais,"EXP.","SHIP.")</f>
        <v>SHIP.</v>
      </c>
      <c r="E21" s="755" t="s">
        <v>22</v>
      </c>
      <c r="F21" s="755"/>
      <c r="G21" s="80"/>
      <c r="H21" s="80"/>
      <c r="I21" s="80"/>
      <c r="J21" s="80"/>
      <c r="K21" s="80"/>
      <c r="L21" s="80"/>
      <c r="M21" s="80"/>
      <c r="N21" s="80"/>
      <c r="O21" s="767" t="str">
        <f>IF(QUOTE_DetailedPrices,"DETAILED EXT. PRICE",IF(Francais,"CODE HARMONISÉ","HARMONIZED CODE"))</f>
        <v>HARMONIZED CODE</v>
      </c>
      <c r="P21" s="767"/>
      <c r="Q21" s="81" t="str">
        <f>IF(Francais,"PRIX UNITAIRE","UNIT PRICE")</f>
        <v>UNIT PRICE</v>
      </c>
      <c r="R21" s="81" t="str">
        <f>IF(Francais,"SOUS-TOTAL","EXTENDED PRICE")</f>
        <v>EXTENDED PRICE</v>
      </c>
      <c r="T21" s="329"/>
      <c r="U21" s="79" t="s">
        <v>38</v>
      </c>
      <c r="V21" s="80" t="str">
        <f>IF(Francais,"QTÉ","QTY")</f>
        <v>QTY</v>
      </c>
      <c r="W21" s="80" t="str">
        <f>IF(Francais,"EXP.","SHIP.")</f>
        <v>SHIP.</v>
      </c>
      <c r="X21" s="755" t="s">
        <v>22</v>
      </c>
      <c r="Y21" s="755"/>
      <c r="Z21" s="80"/>
      <c r="AA21" s="80"/>
      <c r="AB21" s="80"/>
      <c r="AC21" s="80"/>
      <c r="AD21" s="80"/>
      <c r="AE21" s="80"/>
      <c r="AF21" s="80"/>
      <c r="AG21" s="80"/>
      <c r="AH21" s="771" t="str">
        <f>IF(QUOTE_DetailedPrices,"DETAILED EXT. PRICE",IF(Francais,"CODE HARMONISÉ","HARMONIZED CODE"))</f>
        <v>HARMONIZED CODE</v>
      </c>
      <c r="AI21" s="771"/>
      <c r="AJ21" s="81" t="str">
        <f>IF(Francais,"PRIX UNITAIRE","UNIT PRICE")</f>
        <v>UNIT PRICE</v>
      </c>
      <c r="AK21" s="81" t="str">
        <f>IF(Francais,"SOUS-TOTAL","EXTENDED PRICE")</f>
        <v>EXTENDED PRICE</v>
      </c>
    </row>
    <row r="22" spans="1:37" ht="11" customHeight="1" x14ac:dyDescent="0.2">
      <c r="A22" s="88"/>
      <c r="B22" s="330"/>
      <c r="C22" s="331"/>
      <c r="D22" s="331"/>
      <c r="E22" s="778" t="str">
        <f>IF(ISBLANK(Quote!D22),"",Quote!D22)</f>
        <v/>
      </c>
      <c r="F22" s="756"/>
      <c r="G22" s="756"/>
      <c r="H22" s="756"/>
      <c r="I22" s="756"/>
      <c r="J22" s="756"/>
      <c r="K22" s="756"/>
      <c r="L22" s="756"/>
      <c r="M22" s="756"/>
      <c r="N22" s="756"/>
      <c r="O22" s="776"/>
      <c r="P22" s="777"/>
      <c r="Q22" s="268"/>
      <c r="R22" s="269"/>
      <c r="T22" s="88"/>
      <c r="U22" s="330"/>
      <c r="V22" s="331"/>
      <c r="W22" s="331"/>
      <c r="X22" s="778"/>
      <c r="Y22" s="756"/>
      <c r="Z22" s="756"/>
      <c r="AA22" s="756"/>
      <c r="AB22" s="756"/>
      <c r="AC22" s="756"/>
      <c r="AD22" s="756"/>
      <c r="AE22" s="756"/>
      <c r="AF22" s="756"/>
      <c r="AG22" s="756"/>
      <c r="AH22" s="776"/>
      <c r="AI22" s="777"/>
      <c r="AJ22" s="268"/>
      <c r="AK22" s="269"/>
    </row>
    <row r="23" spans="1:37" ht="11.25" customHeight="1" x14ac:dyDescent="0.2">
      <c r="A23" s="89"/>
      <c r="B23" s="78" t="e">
        <f>IF(AND(C23&gt;0,C23&lt;&gt;"",AND(LEFT(E23,7)&lt;&gt;"   • Wi",LEFT(E23,7)&lt;&gt;"   • XL")),
COUNT($C$23:C23),"")</f>
        <v>#REF!</v>
      </c>
      <c r="C23" s="87" t="str">
        <f>QCalc!Q399</f>
        <v/>
      </c>
      <c r="D23" s="87" t="str">
        <f>C23</f>
        <v/>
      </c>
      <c r="E23" s="819" t="e">
        <f>QCalc!N399</f>
        <v>#REF!</v>
      </c>
      <c r="F23" s="820"/>
      <c r="G23" s="820"/>
      <c r="H23" s="820"/>
      <c r="I23" s="820"/>
      <c r="J23" s="820"/>
      <c r="K23" s="820"/>
      <c r="L23" s="820"/>
      <c r="M23" s="820"/>
      <c r="N23" s="820"/>
      <c r="O23" s="736" t="str">
        <f>IF(QUOTE_DetailedPrices,QCalc!P399,QCalc!O399)</f>
        <v/>
      </c>
      <c r="P23" s="737"/>
      <c r="Q23" s="270" t="str">
        <f>IF($D23=0,0,QCalc!R399)</f>
        <v/>
      </c>
      <c r="R23" s="271" t="str">
        <f>IF($D23=0,0,QCalc!S399)</f>
        <v/>
      </c>
      <c r="T23" s="89"/>
      <c r="U23" s="78"/>
      <c r="V23" s="87"/>
      <c r="W23" s="87"/>
      <c r="X23" s="819"/>
      <c r="Y23" s="820"/>
      <c r="Z23" s="820"/>
      <c r="AA23" s="820"/>
      <c r="AB23" s="820"/>
      <c r="AC23" s="820"/>
      <c r="AD23" s="820"/>
      <c r="AE23" s="820"/>
      <c r="AF23" s="820"/>
      <c r="AG23" s="820"/>
      <c r="AH23" s="736"/>
      <c r="AI23" s="737"/>
      <c r="AJ23" s="270"/>
      <c r="AK23" s="271"/>
    </row>
    <row r="24" spans="1:37" ht="11.25" customHeight="1" x14ac:dyDescent="0.2">
      <c r="A24" s="89"/>
      <c r="B24" s="78" t="str">
        <f>IF(AND(C24&gt;0,C24&lt;&gt;"",AND(LEFT(E24,7)&lt;&gt;"   • Wi",LEFT(E24,7)&lt;&gt;"   • XL")),
COUNT($C$23:C24),"")</f>
        <v/>
      </c>
      <c r="C24" s="87" t="str">
        <f>QCalc!Q400</f>
        <v/>
      </c>
      <c r="D24" s="131" t="str">
        <f t="shared" ref="D24:D31" si="4">C24</f>
        <v/>
      </c>
      <c r="E24" s="819" t="str">
        <f>QCalc!N400</f>
        <v/>
      </c>
      <c r="F24" s="820"/>
      <c r="G24" s="820"/>
      <c r="H24" s="820"/>
      <c r="I24" s="820"/>
      <c r="J24" s="820"/>
      <c r="K24" s="820"/>
      <c r="L24" s="820"/>
      <c r="M24" s="820"/>
      <c r="N24" s="820"/>
      <c r="O24" s="736" t="str">
        <f>IF(QUOTE_DetailedPrices,QCalc!P400,QCalc!O400)</f>
        <v/>
      </c>
      <c r="P24" s="737"/>
      <c r="Q24" s="270" t="str">
        <f>IF($D24=0,0,QCalc!R400)</f>
        <v/>
      </c>
      <c r="R24" s="271" t="str">
        <f>IF($D24=0,0,QCalc!S400)</f>
        <v/>
      </c>
      <c r="T24" s="89"/>
      <c r="U24" s="78"/>
      <c r="V24" s="87"/>
      <c r="W24" s="87"/>
      <c r="X24" s="819"/>
      <c r="Y24" s="820"/>
      <c r="Z24" s="820"/>
      <c r="AA24" s="820"/>
      <c r="AB24" s="820"/>
      <c r="AC24" s="820"/>
      <c r="AD24" s="820"/>
      <c r="AE24" s="820"/>
      <c r="AF24" s="820"/>
      <c r="AG24" s="820"/>
      <c r="AH24" s="736"/>
      <c r="AI24" s="737"/>
      <c r="AJ24" s="270"/>
      <c r="AK24" s="271"/>
    </row>
    <row r="25" spans="1:37" ht="11.25" customHeight="1" x14ac:dyDescent="0.2">
      <c r="A25" s="89"/>
      <c r="B25" s="78" t="str">
        <f>IF(AND(C25&gt;0,C25&lt;&gt;"",AND(LEFT(E25,7)&lt;&gt;"   • Wi",LEFT(E25,7)&lt;&gt;"   • XL")),
COUNT($C$23:C25),"")</f>
        <v/>
      </c>
      <c r="C25" s="87" t="str">
        <f>QCalc!Q401</f>
        <v/>
      </c>
      <c r="D25" s="132" t="str">
        <f t="shared" si="4"/>
        <v/>
      </c>
      <c r="E25" s="734" t="str">
        <f>QCalc!N401</f>
        <v/>
      </c>
      <c r="F25" s="735"/>
      <c r="G25" s="735"/>
      <c r="H25" s="735"/>
      <c r="I25" s="735"/>
      <c r="J25" s="735"/>
      <c r="K25" s="735"/>
      <c r="L25" s="735"/>
      <c r="M25" s="735"/>
      <c r="N25" s="735"/>
      <c r="O25" s="774" t="str">
        <f>IF(QUOTE_DetailedPrices,QCalc!P401,QCalc!O401)</f>
        <v/>
      </c>
      <c r="P25" s="775"/>
      <c r="Q25" s="270" t="str">
        <f>IF($D25=0,0,QCalc!R401)</f>
        <v/>
      </c>
      <c r="R25" s="271" t="str">
        <f>IF($D25=0,0,QCalc!S401)</f>
        <v/>
      </c>
      <c r="T25" s="89"/>
      <c r="U25" s="78"/>
      <c r="V25" s="87"/>
      <c r="W25" s="87"/>
      <c r="X25" s="819"/>
      <c r="Y25" s="820"/>
      <c r="Z25" s="820"/>
      <c r="AA25" s="820"/>
      <c r="AB25" s="820"/>
      <c r="AC25" s="820"/>
      <c r="AD25" s="820"/>
      <c r="AE25" s="820"/>
      <c r="AF25" s="820"/>
      <c r="AG25" s="820"/>
      <c r="AH25" s="736"/>
      <c r="AI25" s="737"/>
      <c r="AJ25" s="270"/>
      <c r="AK25" s="271"/>
    </row>
    <row r="26" spans="1:37" ht="11.25" customHeight="1" x14ac:dyDescent="0.2">
      <c r="A26" s="89"/>
      <c r="B26" s="78" t="str">
        <f>IF(AND(C26&gt;0,C26&lt;&gt;"",AND(LEFT(E26,7)&lt;&gt;"   • Wi",LEFT(E26,7)&lt;&gt;"   • XL")),
COUNT($C$23:C26),"")</f>
        <v/>
      </c>
      <c r="C26" s="87" t="str">
        <f>QCalc!Q402</f>
        <v/>
      </c>
      <c r="D26" s="132" t="str">
        <f t="shared" si="4"/>
        <v/>
      </c>
      <c r="E26" s="734" t="str">
        <f>QCalc!N402</f>
        <v/>
      </c>
      <c r="F26" s="735"/>
      <c r="G26" s="735"/>
      <c r="H26" s="735"/>
      <c r="I26" s="735"/>
      <c r="J26" s="735"/>
      <c r="K26" s="735"/>
      <c r="L26" s="735"/>
      <c r="M26" s="735"/>
      <c r="N26" s="735"/>
      <c r="O26" s="774" t="str">
        <f>IF(QUOTE_DetailedPrices,QCalc!P402,QCalc!O402)</f>
        <v/>
      </c>
      <c r="P26" s="775"/>
      <c r="Q26" s="270" t="str">
        <f>IF($D26=0,0,QCalc!R402)</f>
        <v/>
      </c>
      <c r="R26" s="271" t="str">
        <f>IF($D26=0,0,QCalc!S402)</f>
        <v/>
      </c>
      <c r="T26" s="89"/>
      <c r="U26" s="78"/>
      <c r="V26" s="87"/>
      <c r="W26" s="87"/>
      <c r="X26" s="819"/>
      <c r="Y26" s="820"/>
      <c r="Z26" s="820"/>
      <c r="AA26" s="820"/>
      <c r="AB26" s="820"/>
      <c r="AC26" s="820"/>
      <c r="AD26" s="820"/>
      <c r="AE26" s="820"/>
      <c r="AF26" s="820"/>
      <c r="AG26" s="820"/>
      <c r="AH26" s="736"/>
      <c r="AI26" s="737"/>
      <c r="AJ26" s="270"/>
      <c r="AK26" s="271"/>
    </row>
    <row r="27" spans="1:37" ht="11.25" customHeight="1" x14ac:dyDescent="0.2">
      <c r="A27" s="89"/>
      <c r="B27" s="78" t="str">
        <f>IF(AND(C27&gt;0,C27&lt;&gt;"",AND(LEFT(E27,7)&lt;&gt;"   • Wi",LEFT(E27,7)&lt;&gt;"   • XL")),
COUNT($C$23:C27),"")</f>
        <v/>
      </c>
      <c r="C27" s="87" t="str">
        <f>QCalc!Q403</f>
        <v/>
      </c>
      <c r="D27" s="132" t="str">
        <f t="shared" si="4"/>
        <v/>
      </c>
      <c r="E27" s="734" t="str">
        <f>QCalc!N403</f>
        <v/>
      </c>
      <c r="F27" s="735"/>
      <c r="G27" s="735"/>
      <c r="H27" s="735"/>
      <c r="I27" s="735"/>
      <c r="J27" s="735"/>
      <c r="K27" s="735"/>
      <c r="L27" s="735"/>
      <c r="M27" s="735"/>
      <c r="N27" s="735"/>
      <c r="O27" s="774" t="str">
        <f>IF(QUOTE_DetailedPrices,QCalc!P403,QCalc!O403)</f>
        <v/>
      </c>
      <c r="P27" s="775"/>
      <c r="Q27" s="270" t="str">
        <f>IF($D27=0,0,QCalc!R403)</f>
        <v/>
      </c>
      <c r="R27" s="271" t="str">
        <f>IF($D27=0,0,QCalc!S403)</f>
        <v/>
      </c>
      <c r="T27" s="89"/>
      <c r="U27" s="78"/>
      <c r="V27" s="87"/>
      <c r="W27" s="87"/>
      <c r="X27" s="819"/>
      <c r="Y27" s="820"/>
      <c r="Z27" s="820"/>
      <c r="AA27" s="820"/>
      <c r="AB27" s="820"/>
      <c r="AC27" s="820"/>
      <c r="AD27" s="820"/>
      <c r="AE27" s="820"/>
      <c r="AF27" s="820"/>
      <c r="AG27" s="820"/>
      <c r="AH27" s="736"/>
      <c r="AI27" s="737"/>
      <c r="AJ27" s="270"/>
      <c r="AK27" s="271"/>
    </row>
    <row r="28" spans="1:37" ht="11.25" customHeight="1" x14ac:dyDescent="0.2">
      <c r="A28" s="89"/>
      <c r="B28" s="78" t="str">
        <f>IF(AND(C28&gt;0,C28&lt;&gt;"",AND(LEFT(E28,7)&lt;&gt;"   • Wi",LEFT(E28,7)&lt;&gt;"   • XL")),
COUNT($C$23:C28),"")</f>
        <v/>
      </c>
      <c r="C28" s="87" t="str">
        <f>QCalc!Q404</f>
        <v/>
      </c>
      <c r="D28" s="132" t="str">
        <f t="shared" si="4"/>
        <v/>
      </c>
      <c r="E28" s="734" t="str">
        <f>QCalc!N404</f>
        <v/>
      </c>
      <c r="F28" s="735"/>
      <c r="G28" s="735"/>
      <c r="H28" s="735"/>
      <c r="I28" s="735"/>
      <c r="J28" s="735"/>
      <c r="K28" s="735"/>
      <c r="L28" s="735"/>
      <c r="M28" s="735"/>
      <c r="N28" s="735"/>
      <c r="O28" s="774" t="str">
        <f>IF(QUOTE_DetailedPrices,QCalc!P404,QCalc!O404)</f>
        <v/>
      </c>
      <c r="P28" s="775"/>
      <c r="Q28" s="270" t="str">
        <f>IF($D28=0,0,QCalc!R404)</f>
        <v/>
      </c>
      <c r="R28" s="271" t="str">
        <f>IF($D28=0,0,QCalc!S404)</f>
        <v/>
      </c>
      <c r="T28" s="89"/>
      <c r="U28" s="78"/>
      <c r="V28" s="87"/>
      <c r="W28" s="87"/>
      <c r="X28" s="819"/>
      <c r="Y28" s="820"/>
      <c r="Z28" s="820"/>
      <c r="AA28" s="820"/>
      <c r="AB28" s="820"/>
      <c r="AC28" s="820"/>
      <c r="AD28" s="820"/>
      <c r="AE28" s="820"/>
      <c r="AF28" s="820"/>
      <c r="AG28" s="820"/>
      <c r="AH28" s="736"/>
      <c r="AI28" s="737"/>
      <c r="AJ28" s="270"/>
      <c r="AK28" s="271"/>
    </row>
    <row r="29" spans="1:37" ht="11.25" customHeight="1" x14ac:dyDescent="0.2">
      <c r="A29" s="89"/>
      <c r="B29" s="78" t="str">
        <f>IF(AND(C29&gt;0,C29&lt;&gt;"",AND(LEFT(E29,7)&lt;&gt;"   • Wi",LEFT(E29,7)&lt;&gt;"   • XL")),
COUNT($C$23:C29),"")</f>
        <v/>
      </c>
      <c r="C29" s="87" t="str">
        <f>QCalc!Q405</f>
        <v/>
      </c>
      <c r="D29" s="132" t="str">
        <f t="shared" si="4"/>
        <v/>
      </c>
      <c r="E29" s="734" t="str">
        <f>QCalc!N405</f>
        <v/>
      </c>
      <c r="F29" s="735"/>
      <c r="G29" s="735"/>
      <c r="H29" s="735"/>
      <c r="I29" s="735"/>
      <c r="J29" s="735"/>
      <c r="K29" s="735"/>
      <c r="L29" s="735"/>
      <c r="M29" s="735"/>
      <c r="N29" s="735"/>
      <c r="O29" s="774" t="str">
        <f>IF(QUOTE_DetailedPrices,QCalc!P405,QCalc!O405)</f>
        <v/>
      </c>
      <c r="P29" s="775"/>
      <c r="Q29" s="270" t="str">
        <f>IF($D29=0,0,QCalc!R405)</f>
        <v/>
      </c>
      <c r="R29" s="271" t="str">
        <f>IF($D29=0,0,QCalc!S405)</f>
        <v/>
      </c>
      <c r="T29" s="89"/>
      <c r="U29" s="78"/>
      <c r="V29" s="87"/>
      <c r="W29" s="87"/>
      <c r="X29" s="819"/>
      <c r="Y29" s="820"/>
      <c r="Z29" s="820"/>
      <c r="AA29" s="820"/>
      <c r="AB29" s="820"/>
      <c r="AC29" s="820"/>
      <c r="AD29" s="820"/>
      <c r="AE29" s="820"/>
      <c r="AF29" s="820"/>
      <c r="AG29" s="820"/>
      <c r="AH29" s="736"/>
      <c r="AI29" s="737"/>
      <c r="AJ29" s="270"/>
      <c r="AK29" s="271"/>
    </row>
    <row r="30" spans="1:37" ht="11" customHeight="1" x14ac:dyDescent="0.2">
      <c r="A30" s="89"/>
      <c r="B30" s="78" t="str">
        <f>IF(AND(C30&gt;0,C30&lt;&gt;"",AND(LEFT(E30,7)&lt;&gt;"   • Wi",LEFT(E30,7)&lt;&gt;"   • XL")),
COUNT($C$23:C30),"")</f>
        <v/>
      </c>
      <c r="C30" s="87" t="str">
        <f>QCalc!Q406</f>
        <v/>
      </c>
      <c r="D30" s="132" t="str">
        <f t="shared" si="4"/>
        <v/>
      </c>
      <c r="E30" s="734" t="str">
        <f>QCalc!N406</f>
        <v/>
      </c>
      <c r="F30" s="735"/>
      <c r="G30" s="735"/>
      <c r="H30" s="735"/>
      <c r="I30" s="735"/>
      <c r="J30" s="735"/>
      <c r="K30" s="735"/>
      <c r="L30" s="735"/>
      <c r="M30" s="735"/>
      <c r="N30" s="735"/>
      <c r="O30" s="774" t="str">
        <f>IF(QUOTE_DetailedPrices,QCalc!P406,QCalc!O406)</f>
        <v/>
      </c>
      <c r="P30" s="775"/>
      <c r="Q30" s="270" t="str">
        <f>IF($D30=0,0,QCalc!R406)</f>
        <v/>
      </c>
      <c r="R30" s="271" t="str">
        <f>IF($D30=0,0,QCalc!S406)</f>
        <v/>
      </c>
      <c r="T30" s="89"/>
      <c r="U30" s="78"/>
      <c r="V30" s="87"/>
      <c r="W30" s="87"/>
      <c r="X30" s="819"/>
      <c r="Y30" s="820"/>
      <c r="Z30" s="820"/>
      <c r="AA30" s="820"/>
      <c r="AB30" s="820"/>
      <c r="AC30" s="820"/>
      <c r="AD30" s="820"/>
      <c r="AE30" s="820"/>
      <c r="AF30" s="820"/>
      <c r="AG30" s="820"/>
      <c r="AH30" s="736"/>
      <c r="AI30" s="737"/>
      <c r="AJ30" s="270"/>
      <c r="AK30" s="271"/>
    </row>
    <row r="31" spans="1:37" ht="11" customHeight="1" x14ac:dyDescent="0.2">
      <c r="A31" s="89"/>
      <c r="B31" s="78" t="str">
        <f>IF(AND(C31&gt;0,C31&lt;&gt;"",AND(LEFT(E31,7)&lt;&gt;"   • Wi",LEFT(E31,7)&lt;&gt;"   • XL")),
COUNT($C$23:C31),"")</f>
        <v/>
      </c>
      <c r="C31" s="87" t="str">
        <f>QCalc!Q407</f>
        <v/>
      </c>
      <c r="D31" s="132" t="str">
        <f t="shared" si="4"/>
        <v/>
      </c>
      <c r="E31" s="734" t="str">
        <f>QCalc!N407</f>
        <v/>
      </c>
      <c r="F31" s="735"/>
      <c r="G31" s="735"/>
      <c r="H31" s="735"/>
      <c r="I31" s="735"/>
      <c r="J31" s="735"/>
      <c r="K31" s="735"/>
      <c r="L31" s="735"/>
      <c r="M31" s="735"/>
      <c r="N31" s="735"/>
      <c r="O31" s="774" t="str">
        <f>IF(QUOTE_DetailedPrices,QCalc!P407,QCalc!O407)</f>
        <v/>
      </c>
      <c r="P31" s="775"/>
      <c r="Q31" s="270" t="str">
        <f>IF($D31=0,0,QCalc!R407)</f>
        <v/>
      </c>
      <c r="R31" s="271" t="str">
        <f>IF($D31=0,0,QCalc!S407)</f>
        <v/>
      </c>
      <c r="T31" s="89"/>
      <c r="U31" s="78"/>
      <c r="V31" s="87"/>
      <c r="W31" s="87"/>
      <c r="X31" s="819"/>
      <c r="Y31" s="820"/>
      <c r="Z31" s="820"/>
      <c r="AA31" s="820"/>
      <c r="AB31" s="820"/>
      <c r="AC31" s="820"/>
      <c r="AD31" s="820"/>
      <c r="AE31" s="820"/>
      <c r="AF31" s="820"/>
      <c r="AG31" s="820"/>
      <c r="AH31" s="736"/>
      <c r="AI31" s="737"/>
      <c r="AJ31" s="270"/>
      <c r="AK31" s="271"/>
    </row>
    <row r="32" spans="1:37" ht="11" customHeight="1" x14ac:dyDescent="0.2">
      <c r="A32" s="89"/>
      <c r="B32" s="78" t="str">
        <f>IF(AND(C32&gt;0,C32&lt;&gt;"",AND(LEFT(E32,7)&lt;&gt;"   • Wi",LEFT(E32,7)&lt;&gt;"   • XL")),
COUNT($C$23:C32),"")</f>
        <v/>
      </c>
      <c r="C32" s="87"/>
      <c r="D32" s="132"/>
      <c r="E32" s="734"/>
      <c r="F32" s="735"/>
      <c r="G32" s="735"/>
      <c r="H32" s="735"/>
      <c r="I32" s="735"/>
      <c r="J32" s="735"/>
      <c r="K32" s="735"/>
      <c r="L32" s="735"/>
      <c r="M32" s="735"/>
      <c r="N32" s="735"/>
      <c r="O32" s="774"/>
      <c r="P32" s="775"/>
      <c r="Q32" s="270"/>
      <c r="R32" s="271"/>
      <c r="T32" s="89"/>
      <c r="U32" s="78"/>
      <c r="V32" s="87"/>
      <c r="W32" s="87"/>
      <c r="X32" s="819"/>
      <c r="Y32" s="820"/>
      <c r="Z32" s="820"/>
      <c r="AA32" s="820"/>
      <c r="AB32" s="820"/>
      <c r="AC32" s="820"/>
      <c r="AD32" s="820"/>
      <c r="AE32" s="820"/>
      <c r="AF32" s="820"/>
      <c r="AG32" s="820"/>
      <c r="AH32" s="736"/>
      <c r="AI32" s="737"/>
      <c r="AJ32" s="270"/>
      <c r="AK32" s="271"/>
    </row>
    <row r="33" spans="1:37" ht="11" customHeight="1" x14ac:dyDescent="0.2">
      <c r="A33" s="89"/>
      <c r="B33" s="78" t="str">
        <f>IF(AND(C33&gt;0,C33&lt;&gt;"",AND(LEFT(E33,7)&lt;&gt;"   • Wi",LEFT(E33,7)&lt;&gt;"   • XL")),
COUNT($C$23:C33),"")</f>
        <v/>
      </c>
      <c r="C33" s="87"/>
      <c r="D33" s="132"/>
      <c r="E33" s="734"/>
      <c r="F33" s="735"/>
      <c r="G33" s="735"/>
      <c r="H33" s="735"/>
      <c r="I33" s="735"/>
      <c r="J33" s="735"/>
      <c r="K33" s="735"/>
      <c r="L33" s="735"/>
      <c r="M33" s="735"/>
      <c r="N33" s="735"/>
      <c r="O33" s="774"/>
      <c r="P33" s="775"/>
      <c r="Q33" s="270"/>
      <c r="R33" s="271"/>
      <c r="T33" s="89"/>
      <c r="U33" s="78"/>
      <c r="V33" s="87"/>
      <c r="W33" s="87"/>
      <c r="X33" s="819"/>
      <c r="Y33" s="820"/>
      <c r="Z33" s="820"/>
      <c r="AA33" s="820"/>
      <c r="AB33" s="820"/>
      <c r="AC33" s="820"/>
      <c r="AD33" s="820"/>
      <c r="AE33" s="820"/>
      <c r="AF33" s="820"/>
      <c r="AG33" s="820"/>
      <c r="AH33" s="736"/>
      <c r="AI33" s="737"/>
      <c r="AJ33" s="270"/>
      <c r="AK33" s="271"/>
    </row>
    <row r="34" spans="1:37" ht="11" customHeight="1" x14ac:dyDescent="0.2">
      <c r="A34" s="89"/>
      <c r="B34" s="78" t="str">
        <f>IF(AND(C34&gt;0,C34&lt;&gt;"",AND(LEFT(E34,7)&lt;&gt;"   • Wi",LEFT(E34,7)&lt;&gt;"   • XL")),
COUNT($C$23:C34),"")</f>
        <v/>
      </c>
      <c r="C34" s="87"/>
      <c r="D34" s="132"/>
      <c r="E34" s="734"/>
      <c r="F34" s="735"/>
      <c r="G34" s="735"/>
      <c r="H34" s="735"/>
      <c r="I34" s="735"/>
      <c r="J34" s="735"/>
      <c r="K34" s="735"/>
      <c r="L34" s="735"/>
      <c r="M34" s="735"/>
      <c r="N34" s="735"/>
      <c r="O34" s="774"/>
      <c r="P34" s="775"/>
      <c r="Q34" s="270"/>
      <c r="R34" s="271"/>
      <c r="T34" s="89"/>
      <c r="U34" s="78"/>
      <c r="V34" s="87"/>
      <c r="W34" s="87"/>
      <c r="X34" s="819"/>
      <c r="Y34" s="820"/>
      <c r="Z34" s="820"/>
      <c r="AA34" s="820"/>
      <c r="AB34" s="820"/>
      <c r="AC34" s="820"/>
      <c r="AD34" s="820"/>
      <c r="AE34" s="820"/>
      <c r="AF34" s="820"/>
      <c r="AG34" s="820"/>
      <c r="AH34" s="736"/>
      <c r="AI34" s="737"/>
      <c r="AJ34" s="270"/>
      <c r="AK34" s="271"/>
    </row>
    <row r="35" spans="1:37" ht="11" customHeight="1" x14ac:dyDescent="0.2">
      <c r="A35" s="89"/>
      <c r="B35" s="78" t="str">
        <f>IF(AND(C35&gt;0,C35&lt;&gt;"",AND(LEFT(E35,7)&lt;&gt;"   • Wi",LEFT(E35,7)&lt;&gt;"   • XL")),
COUNT($C$23:C35),"")</f>
        <v/>
      </c>
      <c r="C35" s="87"/>
      <c r="D35" s="132"/>
      <c r="E35" s="734"/>
      <c r="F35" s="735"/>
      <c r="G35" s="735"/>
      <c r="H35" s="735"/>
      <c r="I35" s="735"/>
      <c r="J35" s="735"/>
      <c r="K35" s="735"/>
      <c r="L35" s="735"/>
      <c r="M35" s="735"/>
      <c r="N35" s="735"/>
      <c r="O35" s="774"/>
      <c r="P35" s="775"/>
      <c r="Q35" s="270"/>
      <c r="R35" s="271"/>
      <c r="T35" s="89"/>
      <c r="U35" s="78"/>
      <c r="V35" s="87"/>
      <c r="W35" s="87"/>
      <c r="X35" s="819"/>
      <c r="Y35" s="820"/>
      <c r="Z35" s="820"/>
      <c r="AA35" s="820"/>
      <c r="AB35" s="820"/>
      <c r="AC35" s="820"/>
      <c r="AD35" s="820"/>
      <c r="AE35" s="820"/>
      <c r="AF35" s="820"/>
      <c r="AG35" s="820"/>
      <c r="AH35" s="736"/>
      <c r="AI35" s="737"/>
      <c r="AJ35" s="270"/>
      <c r="AK35" s="271"/>
    </row>
    <row r="36" spans="1:37" ht="11" customHeight="1" x14ac:dyDescent="0.2">
      <c r="A36" s="89"/>
      <c r="B36" s="78" t="str">
        <f>IF(AND(C36&gt;0,C36&lt;&gt;"",AND(LEFT(E36,7)&lt;&gt;"   • Wi",LEFT(E36,7)&lt;&gt;"   • XL")),
COUNT($C$23:C36),"")</f>
        <v/>
      </c>
      <c r="C36" s="87"/>
      <c r="D36" s="132"/>
      <c r="E36" s="734"/>
      <c r="F36" s="735"/>
      <c r="G36" s="735"/>
      <c r="H36" s="735"/>
      <c r="I36" s="735"/>
      <c r="J36" s="735"/>
      <c r="K36" s="735"/>
      <c r="L36" s="735"/>
      <c r="M36" s="735"/>
      <c r="N36" s="735"/>
      <c r="O36" s="774"/>
      <c r="P36" s="775"/>
      <c r="Q36" s="270"/>
      <c r="R36" s="271"/>
      <c r="T36" s="89"/>
      <c r="U36" s="78"/>
      <c r="V36" s="87"/>
      <c r="W36" s="87"/>
      <c r="X36" s="819"/>
      <c r="Y36" s="820"/>
      <c r="Z36" s="820"/>
      <c r="AA36" s="820"/>
      <c r="AB36" s="820"/>
      <c r="AC36" s="820"/>
      <c r="AD36" s="820"/>
      <c r="AE36" s="820"/>
      <c r="AF36" s="820"/>
      <c r="AG36" s="820"/>
      <c r="AH36" s="736"/>
      <c r="AI36" s="737"/>
      <c r="AJ36" s="270"/>
      <c r="AK36" s="271"/>
    </row>
    <row r="37" spans="1:37" ht="11" customHeight="1" x14ac:dyDescent="0.2">
      <c r="A37" s="89"/>
      <c r="B37" s="78" t="str">
        <f>IF(AND(C37&gt;0,C37&lt;&gt;"",AND(LEFT(E37,7)&lt;&gt;"   • Wi",LEFT(E37,7)&lt;&gt;"   • XL")),
COUNT($C$23:C37),"")</f>
        <v/>
      </c>
      <c r="C37" s="87"/>
      <c r="D37" s="132"/>
      <c r="E37" s="734"/>
      <c r="F37" s="735"/>
      <c r="G37" s="735"/>
      <c r="H37" s="735"/>
      <c r="I37" s="735"/>
      <c r="J37" s="735"/>
      <c r="K37" s="735"/>
      <c r="L37" s="735"/>
      <c r="M37" s="735"/>
      <c r="N37" s="735"/>
      <c r="O37" s="774"/>
      <c r="P37" s="775"/>
      <c r="Q37" s="270"/>
      <c r="R37" s="271"/>
      <c r="T37" s="89"/>
      <c r="U37" s="78"/>
      <c r="V37" s="87"/>
      <c r="W37" s="87"/>
      <c r="X37" s="819"/>
      <c r="Y37" s="820"/>
      <c r="Z37" s="820"/>
      <c r="AA37" s="820"/>
      <c r="AB37" s="820"/>
      <c r="AC37" s="820"/>
      <c r="AD37" s="820"/>
      <c r="AE37" s="820"/>
      <c r="AF37" s="820"/>
      <c r="AG37" s="820"/>
      <c r="AH37" s="736"/>
      <c r="AI37" s="737"/>
      <c r="AJ37" s="270"/>
      <c r="AK37" s="271"/>
    </row>
    <row r="38" spans="1:37" ht="11" customHeight="1" x14ac:dyDescent="0.2">
      <c r="A38" s="89"/>
      <c r="B38" s="78" t="str">
        <f>IF(AND(C38&gt;0,C38&lt;&gt;"",AND(LEFT(E38,7)&lt;&gt;"   • Wi",LEFT(E38,7)&lt;&gt;"   • XL")),
COUNT($C$23:C38),"")</f>
        <v/>
      </c>
      <c r="C38" s="87"/>
      <c r="D38" s="132"/>
      <c r="E38" s="734"/>
      <c r="F38" s="735"/>
      <c r="G38" s="735"/>
      <c r="H38" s="735"/>
      <c r="I38" s="735"/>
      <c r="J38" s="735"/>
      <c r="K38" s="735"/>
      <c r="L38" s="735"/>
      <c r="M38" s="735"/>
      <c r="N38" s="735"/>
      <c r="O38" s="774"/>
      <c r="P38" s="775"/>
      <c r="Q38" s="270"/>
      <c r="R38" s="271"/>
      <c r="T38" s="89"/>
      <c r="U38" s="78"/>
      <c r="V38" s="87"/>
      <c r="W38" s="87"/>
      <c r="X38" s="819"/>
      <c r="Y38" s="820"/>
      <c r="Z38" s="820"/>
      <c r="AA38" s="820"/>
      <c r="AB38" s="820"/>
      <c r="AC38" s="820"/>
      <c r="AD38" s="820"/>
      <c r="AE38" s="820"/>
      <c r="AF38" s="820"/>
      <c r="AG38" s="820"/>
      <c r="AH38" s="736"/>
      <c r="AI38" s="737"/>
      <c r="AJ38" s="270"/>
      <c r="AK38" s="271"/>
    </row>
    <row r="39" spans="1:37" ht="11" customHeight="1" x14ac:dyDescent="0.2">
      <c r="A39" s="89"/>
      <c r="B39" s="78" t="str">
        <f>IF(AND(C39&gt;0,C39&lt;&gt;"",AND(LEFT(E39,7)&lt;&gt;"   • Wi",LEFT(E39,7)&lt;&gt;"   • XL")),
COUNT($C$23:C39),"")</f>
        <v/>
      </c>
      <c r="C39" s="87"/>
      <c r="D39" s="132"/>
      <c r="E39" s="734"/>
      <c r="F39" s="735"/>
      <c r="G39" s="735"/>
      <c r="H39" s="735"/>
      <c r="I39" s="735"/>
      <c r="J39" s="735"/>
      <c r="K39" s="735"/>
      <c r="L39" s="735"/>
      <c r="M39" s="735"/>
      <c r="N39" s="735"/>
      <c r="O39" s="774"/>
      <c r="P39" s="775"/>
      <c r="Q39" s="270"/>
      <c r="R39" s="271"/>
      <c r="T39" s="89"/>
      <c r="U39" s="78"/>
      <c r="V39" s="87"/>
      <c r="W39" s="87"/>
      <c r="X39" s="819"/>
      <c r="Y39" s="820"/>
      <c r="Z39" s="820"/>
      <c r="AA39" s="820"/>
      <c r="AB39" s="820"/>
      <c r="AC39" s="820"/>
      <c r="AD39" s="820"/>
      <c r="AE39" s="820"/>
      <c r="AF39" s="820"/>
      <c r="AG39" s="820"/>
      <c r="AH39" s="736"/>
      <c r="AI39" s="737"/>
      <c r="AJ39" s="270"/>
      <c r="AK39" s="271"/>
    </row>
    <row r="40" spans="1:37" ht="11" customHeight="1" x14ac:dyDescent="0.2">
      <c r="A40" s="89"/>
      <c r="B40" s="78" t="str">
        <f>IF(AND(C40&gt;0,C40&lt;&gt;"",AND(LEFT(E40,7)&lt;&gt;"   • Wi",LEFT(E40,7)&lt;&gt;"   • XL")),
COUNT($C$23:C40),"")</f>
        <v/>
      </c>
      <c r="C40" s="87"/>
      <c r="D40" s="132"/>
      <c r="E40" s="734"/>
      <c r="F40" s="735"/>
      <c r="G40" s="735"/>
      <c r="H40" s="735"/>
      <c r="I40" s="735"/>
      <c r="J40" s="735"/>
      <c r="K40" s="735"/>
      <c r="L40" s="735"/>
      <c r="M40" s="735"/>
      <c r="N40" s="735"/>
      <c r="O40" s="774"/>
      <c r="P40" s="775"/>
      <c r="Q40" s="270"/>
      <c r="R40" s="271"/>
      <c r="T40" s="89"/>
      <c r="U40" s="78"/>
      <c r="V40" s="87"/>
      <c r="W40" s="87"/>
      <c r="X40" s="819"/>
      <c r="Y40" s="820"/>
      <c r="Z40" s="820"/>
      <c r="AA40" s="820"/>
      <c r="AB40" s="820"/>
      <c r="AC40" s="820"/>
      <c r="AD40" s="820"/>
      <c r="AE40" s="820"/>
      <c r="AF40" s="820"/>
      <c r="AG40" s="820"/>
      <c r="AH40" s="736"/>
      <c r="AI40" s="737"/>
      <c r="AJ40" s="270"/>
      <c r="AK40" s="271"/>
    </row>
    <row r="41" spans="1:37" ht="11" customHeight="1" x14ac:dyDescent="0.2">
      <c r="A41" s="89"/>
      <c r="B41" s="78" t="str">
        <f>IF(AND(C41&gt;0,C41&lt;&gt;"",AND(LEFT(E41,7)&lt;&gt;"   • Wi",LEFT(E41,7)&lt;&gt;"   • XL")),
COUNT($C$23:C41),"")</f>
        <v/>
      </c>
      <c r="C41" s="87"/>
      <c r="D41" s="132"/>
      <c r="E41" s="734"/>
      <c r="F41" s="735"/>
      <c r="G41" s="735"/>
      <c r="H41" s="735"/>
      <c r="I41" s="735"/>
      <c r="J41" s="735"/>
      <c r="K41" s="735"/>
      <c r="L41" s="735"/>
      <c r="M41" s="735"/>
      <c r="N41" s="735"/>
      <c r="O41" s="774"/>
      <c r="P41" s="775"/>
      <c r="Q41" s="270"/>
      <c r="R41" s="271"/>
      <c r="T41" s="89"/>
      <c r="U41" s="78"/>
      <c r="V41" s="87"/>
      <c r="W41" s="87"/>
      <c r="X41" s="819"/>
      <c r="Y41" s="820"/>
      <c r="Z41" s="820"/>
      <c r="AA41" s="820"/>
      <c r="AB41" s="820"/>
      <c r="AC41" s="820"/>
      <c r="AD41" s="820"/>
      <c r="AE41" s="820"/>
      <c r="AF41" s="820"/>
      <c r="AG41" s="820"/>
      <c r="AH41" s="736"/>
      <c r="AI41" s="737"/>
      <c r="AJ41" s="270"/>
      <c r="AK41" s="271"/>
    </row>
    <row r="42" spans="1:37" ht="11" customHeight="1" x14ac:dyDescent="0.2">
      <c r="A42" s="89"/>
      <c r="B42" s="78" t="str">
        <f>IF(AND(C42&gt;0,C42&lt;&gt;"",AND(LEFT(E42,7)&lt;&gt;"   • Wi",LEFT(E42,7)&lt;&gt;"   • XL")),
COUNT($C$23:C42),"")</f>
        <v/>
      </c>
      <c r="C42" s="87"/>
      <c r="D42" s="132"/>
      <c r="E42" s="734"/>
      <c r="F42" s="735"/>
      <c r="G42" s="735"/>
      <c r="H42" s="735"/>
      <c r="I42" s="735"/>
      <c r="J42" s="735"/>
      <c r="K42" s="735"/>
      <c r="L42" s="735"/>
      <c r="M42" s="735"/>
      <c r="N42" s="735"/>
      <c r="O42" s="774"/>
      <c r="P42" s="775"/>
      <c r="Q42" s="270"/>
      <c r="R42" s="271"/>
      <c r="T42" s="89"/>
      <c r="U42" s="78"/>
      <c r="V42" s="87"/>
      <c r="W42" s="87"/>
      <c r="X42" s="819"/>
      <c r="Y42" s="820"/>
      <c r="Z42" s="820"/>
      <c r="AA42" s="820"/>
      <c r="AB42" s="820"/>
      <c r="AC42" s="820"/>
      <c r="AD42" s="820"/>
      <c r="AE42" s="820"/>
      <c r="AF42" s="820"/>
      <c r="AG42" s="820"/>
      <c r="AH42" s="736"/>
      <c r="AI42" s="737"/>
      <c r="AJ42" s="270"/>
      <c r="AK42" s="271"/>
    </row>
    <row r="43" spans="1:37" ht="11" customHeight="1" x14ac:dyDescent="0.2">
      <c r="A43" s="89"/>
      <c r="B43" s="78" t="str">
        <f>IF(AND(C43&gt;0,C43&lt;&gt;"",AND(LEFT(E43,7)&lt;&gt;"   • Wi",LEFT(E43,7)&lt;&gt;"   • XL")),
COUNT($C$23:C43),"")</f>
        <v/>
      </c>
      <c r="C43" s="87"/>
      <c r="D43" s="132"/>
      <c r="E43" s="734"/>
      <c r="F43" s="735"/>
      <c r="G43" s="735"/>
      <c r="H43" s="735"/>
      <c r="I43" s="735"/>
      <c r="J43" s="735"/>
      <c r="K43" s="735"/>
      <c r="L43" s="735"/>
      <c r="M43" s="735"/>
      <c r="N43" s="735"/>
      <c r="O43" s="774"/>
      <c r="P43" s="775"/>
      <c r="Q43" s="270"/>
      <c r="R43" s="271"/>
      <c r="T43" s="89"/>
      <c r="U43" s="78"/>
      <c r="V43" s="87"/>
      <c r="W43" s="87"/>
      <c r="X43" s="819"/>
      <c r="Y43" s="820"/>
      <c r="Z43" s="820"/>
      <c r="AA43" s="820"/>
      <c r="AB43" s="820"/>
      <c r="AC43" s="820"/>
      <c r="AD43" s="820"/>
      <c r="AE43" s="820"/>
      <c r="AF43" s="820"/>
      <c r="AG43" s="820"/>
      <c r="AH43" s="736"/>
      <c r="AI43" s="737"/>
      <c r="AJ43" s="270"/>
      <c r="AK43" s="271"/>
    </row>
    <row r="44" spans="1:37" ht="11" customHeight="1" x14ac:dyDescent="0.2">
      <c r="A44" s="89"/>
      <c r="B44" s="78" t="str">
        <f>IF(AND(C44&gt;0,C44&lt;&gt;"",AND(LEFT(E44,7)&lt;&gt;"   • Wi",LEFT(E44,7)&lt;&gt;"   • XL")),
COUNT($C$23:C44),"")</f>
        <v/>
      </c>
      <c r="C44" s="87"/>
      <c r="D44" s="132"/>
      <c r="E44" s="734"/>
      <c r="F44" s="735"/>
      <c r="G44" s="735"/>
      <c r="H44" s="735"/>
      <c r="I44" s="735"/>
      <c r="J44" s="735"/>
      <c r="K44" s="735"/>
      <c r="L44" s="735"/>
      <c r="M44" s="735"/>
      <c r="N44" s="735"/>
      <c r="O44" s="774"/>
      <c r="P44" s="775"/>
      <c r="Q44" s="270"/>
      <c r="R44" s="271"/>
      <c r="T44" s="89"/>
      <c r="U44" s="78"/>
      <c r="V44" s="87"/>
      <c r="W44" s="87"/>
      <c r="X44" s="819"/>
      <c r="Y44" s="820"/>
      <c r="Z44" s="820"/>
      <c r="AA44" s="820"/>
      <c r="AB44" s="820"/>
      <c r="AC44" s="820"/>
      <c r="AD44" s="820"/>
      <c r="AE44" s="820"/>
      <c r="AF44" s="820"/>
      <c r="AG44" s="820"/>
      <c r="AH44" s="736"/>
      <c r="AI44" s="737"/>
      <c r="AJ44" s="270"/>
      <c r="AK44" s="271"/>
    </row>
    <row r="45" spans="1:37" ht="11" customHeight="1" x14ac:dyDescent="0.2">
      <c r="A45" s="89"/>
      <c r="B45" s="78" t="str">
        <f>IF(AND(C45&gt;0,C45&lt;&gt;"",AND(LEFT(E45,7)&lt;&gt;"   • Wi",LEFT(E45,7)&lt;&gt;"   • XL")),
COUNT($C$23:C45),"")</f>
        <v/>
      </c>
      <c r="C45" s="87"/>
      <c r="D45" s="132"/>
      <c r="E45" s="734"/>
      <c r="F45" s="735"/>
      <c r="G45" s="735"/>
      <c r="H45" s="735"/>
      <c r="I45" s="735"/>
      <c r="J45" s="735"/>
      <c r="K45" s="735"/>
      <c r="L45" s="735"/>
      <c r="M45" s="735"/>
      <c r="N45" s="735"/>
      <c r="O45" s="774"/>
      <c r="P45" s="775"/>
      <c r="Q45" s="270"/>
      <c r="R45" s="271"/>
      <c r="T45" s="89"/>
      <c r="U45" s="78"/>
      <c r="V45" s="87"/>
      <c r="W45" s="87"/>
      <c r="X45" s="819"/>
      <c r="Y45" s="820"/>
      <c r="Z45" s="820"/>
      <c r="AA45" s="820"/>
      <c r="AB45" s="820"/>
      <c r="AC45" s="820"/>
      <c r="AD45" s="820"/>
      <c r="AE45" s="820"/>
      <c r="AF45" s="820"/>
      <c r="AG45" s="820"/>
      <c r="AH45" s="736"/>
      <c r="AI45" s="737"/>
      <c r="AJ45" s="270"/>
      <c r="AK45" s="271"/>
    </row>
    <row r="46" spans="1:37" ht="11" customHeight="1" x14ac:dyDescent="0.2">
      <c r="A46" s="89"/>
      <c r="B46" s="78" t="str">
        <f>IF(AND(C46&gt;0,C46&lt;&gt;"",AND(LEFT(E46,7)&lt;&gt;"   • Wi",LEFT(E46,7)&lt;&gt;"   • XL")),
COUNT($C$23:C46),"")</f>
        <v/>
      </c>
      <c r="C46" s="87"/>
      <c r="D46" s="132"/>
      <c r="E46" s="734"/>
      <c r="F46" s="735"/>
      <c r="G46" s="735"/>
      <c r="H46" s="735"/>
      <c r="I46" s="735"/>
      <c r="J46" s="735"/>
      <c r="K46" s="735"/>
      <c r="L46" s="735"/>
      <c r="M46" s="735"/>
      <c r="N46" s="735"/>
      <c r="O46" s="774"/>
      <c r="P46" s="775"/>
      <c r="Q46" s="270"/>
      <c r="R46" s="271"/>
      <c r="T46" s="89"/>
      <c r="U46" s="78"/>
      <c r="V46" s="87"/>
      <c r="W46" s="87"/>
      <c r="X46" s="819"/>
      <c r="Y46" s="820"/>
      <c r="Z46" s="820"/>
      <c r="AA46" s="820"/>
      <c r="AB46" s="820"/>
      <c r="AC46" s="820"/>
      <c r="AD46" s="820"/>
      <c r="AE46" s="820"/>
      <c r="AF46" s="820"/>
      <c r="AG46" s="820"/>
      <c r="AH46" s="736"/>
      <c r="AI46" s="737"/>
      <c r="AJ46" s="270"/>
      <c r="AK46" s="271"/>
    </row>
    <row r="47" spans="1:37" ht="11" customHeight="1" x14ac:dyDescent="0.2">
      <c r="A47" s="89"/>
      <c r="B47" s="78" t="str">
        <f>IF(AND(C47&gt;0,C47&lt;&gt;"",AND(LEFT(E47,7)&lt;&gt;"   • Wi",LEFT(E47,7)&lt;&gt;"   • XL")),
COUNT($C$23:C47),"")</f>
        <v/>
      </c>
      <c r="C47" s="87"/>
      <c r="D47" s="132"/>
      <c r="E47" s="734"/>
      <c r="F47" s="735"/>
      <c r="G47" s="735"/>
      <c r="H47" s="735"/>
      <c r="I47" s="735"/>
      <c r="J47" s="735"/>
      <c r="K47" s="735"/>
      <c r="L47" s="735"/>
      <c r="M47" s="735"/>
      <c r="N47" s="735"/>
      <c r="O47" s="774"/>
      <c r="P47" s="775"/>
      <c r="Q47" s="270"/>
      <c r="R47" s="271"/>
      <c r="T47" s="89"/>
      <c r="U47" s="78"/>
      <c r="V47" s="87"/>
      <c r="W47" s="87"/>
      <c r="X47" s="819"/>
      <c r="Y47" s="820"/>
      <c r="Z47" s="820"/>
      <c r="AA47" s="820"/>
      <c r="AB47" s="820"/>
      <c r="AC47" s="820"/>
      <c r="AD47" s="820"/>
      <c r="AE47" s="820"/>
      <c r="AF47" s="820"/>
      <c r="AG47" s="820"/>
      <c r="AH47" s="736"/>
      <c r="AI47" s="737"/>
      <c r="AJ47" s="270"/>
      <c r="AK47" s="271"/>
    </row>
    <row r="48" spans="1:37" ht="11" customHeight="1" x14ac:dyDescent="0.2">
      <c r="A48" s="89"/>
      <c r="B48" s="78" t="str">
        <f>IF(AND(C48&gt;0,C48&lt;&gt;"",AND(LEFT(E48,7)&lt;&gt;"   • Wi",LEFT(E48,7)&lt;&gt;"   • XL")),
COUNT($C$23:C48),"")</f>
        <v/>
      </c>
      <c r="C48" s="87"/>
      <c r="D48" s="132"/>
      <c r="E48" s="734"/>
      <c r="F48" s="735"/>
      <c r="G48" s="735"/>
      <c r="H48" s="735"/>
      <c r="I48" s="735"/>
      <c r="J48" s="735"/>
      <c r="K48" s="735"/>
      <c r="L48" s="735"/>
      <c r="M48" s="735"/>
      <c r="N48" s="735"/>
      <c r="O48" s="774"/>
      <c r="P48" s="775"/>
      <c r="Q48" s="270"/>
      <c r="R48" s="271"/>
      <c r="T48" s="89"/>
      <c r="U48" s="78"/>
      <c r="V48" s="87"/>
      <c r="W48" s="87"/>
      <c r="X48" s="819"/>
      <c r="Y48" s="820"/>
      <c r="Z48" s="820"/>
      <c r="AA48" s="820"/>
      <c r="AB48" s="820"/>
      <c r="AC48" s="820"/>
      <c r="AD48" s="820"/>
      <c r="AE48" s="820"/>
      <c r="AF48" s="820"/>
      <c r="AG48" s="820"/>
      <c r="AH48" s="736"/>
      <c r="AI48" s="737"/>
      <c r="AJ48" s="270"/>
      <c r="AK48" s="271"/>
    </row>
    <row r="49" spans="1:37" ht="11" customHeight="1" x14ac:dyDescent="0.2">
      <c r="A49" s="89"/>
      <c r="B49" s="78" t="str">
        <f>IF(AND(C49&gt;0,C49&lt;&gt;"",AND(LEFT(E49,7)&lt;&gt;"   • Wi",LEFT(E49,7)&lt;&gt;"   • XL")),
COUNT($C$23:C49),"")</f>
        <v/>
      </c>
      <c r="C49" s="87"/>
      <c r="D49" s="132"/>
      <c r="E49" s="734"/>
      <c r="F49" s="735"/>
      <c r="G49" s="735"/>
      <c r="H49" s="735"/>
      <c r="I49" s="735"/>
      <c r="J49" s="735"/>
      <c r="K49" s="735"/>
      <c r="L49" s="735"/>
      <c r="M49" s="735"/>
      <c r="N49" s="735"/>
      <c r="O49" s="774"/>
      <c r="P49" s="775"/>
      <c r="Q49" s="270"/>
      <c r="R49" s="271"/>
      <c r="T49" s="89"/>
      <c r="U49" s="78"/>
      <c r="V49" s="87"/>
      <c r="W49" s="87"/>
      <c r="X49" s="819"/>
      <c r="Y49" s="820"/>
      <c r="Z49" s="820"/>
      <c r="AA49" s="820"/>
      <c r="AB49" s="820"/>
      <c r="AC49" s="820"/>
      <c r="AD49" s="820"/>
      <c r="AE49" s="820"/>
      <c r="AF49" s="820"/>
      <c r="AG49" s="820"/>
      <c r="AH49" s="736"/>
      <c r="AI49" s="737"/>
      <c r="AJ49" s="270"/>
      <c r="AK49" s="271"/>
    </row>
    <row r="50" spans="1:37" ht="11" customHeight="1" x14ac:dyDescent="0.2">
      <c r="A50" s="89"/>
      <c r="B50" s="78" t="str">
        <f>IF(AND(C50&gt;0,C50&lt;&gt;"",AND(LEFT(E50,7)&lt;&gt;"   • Wi",LEFT(E50,7)&lt;&gt;"   • XL")),
COUNT($C$23:C50),"")</f>
        <v/>
      </c>
      <c r="C50" s="87"/>
      <c r="D50" s="132"/>
      <c r="E50" s="734"/>
      <c r="F50" s="735"/>
      <c r="G50" s="735"/>
      <c r="H50" s="735"/>
      <c r="I50" s="735"/>
      <c r="J50" s="735"/>
      <c r="K50" s="735"/>
      <c r="L50" s="735"/>
      <c r="M50" s="735"/>
      <c r="N50" s="735"/>
      <c r="O50" s="774"/>
      <c r="P50" s="775"/>
      <c r="Q50" s="270"/>
      <c r="R50" s="271"/>
      <c r="T50" s="89"/>
      <c r="U50" s="78"/>
      <c r="V50" s="87"/>
      <c r="W50" s="87"/>
      <c r="X50" s="819"/>
      <c r="Y50" s="820"/>
      <c r="Z50" s="820"/>
      <c r="AA50" s="820"/>
      <c r="AB50" s="820"/>
      <c r="AC50" s="820"/>
      <c r="AD50" s="820"/>
      <c r="AE50" s="820"/>
      <c r="AF50" s="820"/>
      <c r="AG50" s="820"/>
      <c r="AH50" s="736"/>
      <c r="AI50" s="737"/>
      <c r="AJ50" s="270"/>
      <c r="AK50" s="271"/>
    </row>
    <row r="51" spans="1:37" ht="11" customHeight="1" x14ac:dyDescent="0.2">
      <c r="A51" s="89"/>
      <c r="B51" s="78" t="str">
        <f>IF(AND(C51&gt;0,C51&lt;&gt;"",AND(LEFT(E51,7)&lt;&gt;"   • Wi",LEFT(E51,7)&lt;&gt;"   • XL")),
COUNT($C$23:C51),"")</f>
        <v/>
      </c>
      <c r="C51" s="87"/>
      <c r="D51" s="132"/>
      <c r="E51" s="734"/>
      <c r="F51" s="735"/>
      <c r="G51" s="735"/>
      <c r="H51" s="735"/>
      <c r="I51" s="735"/>
      <c r="J51" s="735"/>
      <c r="K51" s="735"/>
      <c r="L51" s="735"/>
      <c r="M51" s="735"/>
      <c r="N51" s="735"/>
      <c r="O51" s="774"/>
      <c r="P51" s="775"/>
      <c r="Q51" s="270"/>
      <c r="R51" s="271"/>
      <c r="T51" s="89"/>
      <c r="U51" s="78"/>
      <c r="V51" s="87"/>
      <c r="W51" s="87"/>
      <c r="X51" s="819"/>
      <c r="Y51" s="820"/>
      <c r="Z51" s="820"/>
      <c r="AA51" s="820"/>
      <c r="AB51" s="820"/>
      <c r="AC51" s="820"/>
      <c r="AD51" s="820"/>
      <c r="AE51" s="820"/>
      <c r="AF51" s="820"/>
      <c r="AG51" s="820"/>
      <c r="AH51" s="736"/>
      <c r="AI51" s="737"/>
      <c r="AJ51" s="270"/>
      <c r="AK51" s="271"/>
    </row>
    <row r="52" spans="1:37" ht="11" customHeight="1" x14ac:dyDescent="0.2">
      <c r="A52" s="89"/>
      <c r="B52" s="78" t="str">
        <f>IF(AND(C52&gt;0,C52&lt;&gt;"",AND(LEFT(E52,7)&lt;&gt;"   • Wi",LEFT(E52,7)&lt;&gt;"   • XL")),
COUNT($C$23:C52),"")</f>
        <v/>
      </c>
      <c r="C52" s="87"/>
      <c r="D52" s="132"/>
      <c r="E52" s="734"/>
      <c r="F52" s="735"/>
      <c r="G52" s="735"/>
      <c r="H52" s="735"/>
      <c r="I52" s="735"/>
      <c r="J52" s="735"/>
      <c r="K52" s="735"/>
      <c r="L52" s="735"/>
      <c r="M52" s="735"/>
      <c r="N52" s="735"/>
      <c r="O52" s="774"/>
      <c r="P52" s="775"/>
      <c r="Q52" s="270"/>
      <c r="R52" s="271"/>
      <c r="T52" s="89"/>
      <c r="U52" s="78"/>
      <c r="V52" s="87"/>
      <c r="W52" s="87"/>
      <c r="X52" s="819"/>
      <c r="Y52" s="820"/>
      <c r="Z52" s="820"/>
      <c r="AA52" s="820"/>
      <c r="AB52" s="820"/>
      <c r="AC52" s="820"/>
      <c r="AD52" s="820"/>
      <c r="AE52" s="820"/>
      <c r="AF52" s="820"/>
      <c r="AG52" s="820"/>
      <c r="AH52" s="736"/>
      <c r="AI52" s="737"/>
      <c r="AJ52" s="270"/>
      <c r="AK52" s="271"/>
    </row>
    <row r="53" spans="1:37" ht="11" customHeight="1" x14ac:dyDescent="0.2">
      <c r="A53" s="89"/>
      <c r="B53" s="78" t="str">
        <f>IF(AND(C53&gt;0,C53&lt;&gt;"",AND(LEFT(E53,7)&lt;&gt;"   • Wi",LEFT(E53,7)&lt;&gt;"   • XL")),
COUNT($C$23:C53),"")</f>
        <v/>
      </c>
      <c r="C53" s="87"/>
      <c r="D53" s="132"/>
      <c r="E53" s="734"/>
      <c r="F53" s="735"/>
      <c r="G53" s="735"/>
      <c r="H53" s="735"/>
      <c r="I53" s="735"/>
      <c r="J53" s="735"/>
      <c r="K53" s="735"/>
      <c r="L53" s="735"/>
      <c r="M53" s="735"/>
      <c r="N53" s="735"/>
      <c r="O53" s="774"/>
      <c r="P53" s="775"/>
      <c r="Q53" s="270"/>
      <c r="R53" s="271"/>
      <c r="T53" s="89"/>
      <c r="U53" s="78"/>
      <c r="V53" s="87"/>
      <c r="W53" s="87"/>
      <c r="X53" s="819"/>
      <c r="Y53" s="820"/>
      <c r="Z53" s="820"/>
      <c r="AA53" s="820"/>
      <c r="AB53" s="820"/>
      <c r="AC53" s="820"/>
      <c r="AD53" s="820"/>
      <c r="AE53" s="820"/>
      <c r="AF53" s="820"/>
      <c r="AG53" s="820"/>
      <c r="AH53" s="736"/>
      <c r="AI53" s="737"/>
      <c r="AJ53" s="270"/>
      <c r="AK53" s="271"/>
    </row>
    <row r="54" spans="1:37" ht="11" customHeight="1" x14ac:dyDescent="0.2">
      <c r="A54" s="90"/>
      <c r="B54" s="125"/>
      <c r="C54" s="92"/>
      <c r="D54" s="92"/>
      <c r="E54" s="126"/>
      <c r="F54" s="762" t="str">
        <f>IF(QUOTE_FilledByCustomer,
IF(Francais,"Rabais (1 %) pour la saisie d'informations complètes sur l'acheteur (Facturer à / Expédier à) sur la feuille Home.","Discount (1%) for entering complete buyer information (Bill to/Ship To) on the Home sheet."),
IF(RIGHT(R64,1)&lt;&gt;"1",IF(Francais,"Inclus aussi les items sur la(les) page(s) suivante(s)","Also includes items on next page(s)"),""))</f>
        <v/>
      </c>
      <c r="G54" s="762"/>
      <c r="H54" s="762"/>
      <c r="I54" s="762"/>
      <c r="J54" s="762"/>
      <c r="K54" s="762"/>
      <c r="L54" s="762"/>
      <c r="M54" s="762"/>
      <c r="N54" s="762"/>
      <c r="O54" s="739"/>
      <c r="P54" s="739"/>
      <c r="Q54" s="272" t="str">
        <f>IF(QUOTE_FilledByCustomer,"DISC01","")</f>
        <v/>
      </c>
      <c r="R54" s="273" t="str">
        <f>IFERROR(IF(AND(FIND("DISC",LEFT(Q54,4)),ISNUMBER(_xlfn.NUMBERVALUE(RIGHT(Q54,2)))),
(SUM(R23:R53)+SUM(AK23:AK53))*_xlfn.NUMBERVALUE(RIGHT(Q54,2)/-100),
0),"")</f>
        <v/>
      </c>
      <c r="T54" s="90"/>
      <c r="U54" s="125"/>
      <c r="V54" s="92"/>
      <c r="W54" s="92"/>
      <c r="X54" s="126"/>
      <c r="Y54" s="762"/>
      <c r="Z54" s="762"/>
      <c r="AA54" s="762"/>
      <c r="AB54" s="762"/>
      <c r="AC54" s="762"/>
      <c r="AD54" s="762"/>
      <c r="AE54" s="762"/>
      <c r="AF54" s="762"/>
      <c r="AG54" s="762"/>
      <c r="AH54" s="739"/>
      <c r="AI54" s="739"/>
      <c r="AJ54" s="272"/>
      <c r="AK54" s="273"/>
    </row>
    <row r="55" spans="1:37" ht="5.75" customHeight="1" x14ac:dyDescent="0.2">
      <c r="O55" s="52"/>
      <c r="P55" s="95"/>
      <c r="Q55" s="96"/>
      <c r="R55" s="97"/>
      <c r="T55" s="51"/>
      <c r="U55" s="51"/>
      <c r="V55" s="51"/>
      <c r="W55" s="51"/>
      <c r="X55" s="51"/>
      <c r="Y55" s="51"/>
      <c r="Z55" s="51"/>
      <c r="AA55" s="51"/>
      <c r="AB55" s="51"/>
      <c r="AC55" s="51"/>
      <c r="AD55" s="51"/>
      <c r="AE55" s="51"/>
      <c r="AF55" s="51"/>
      <c r="AG55" s="51"/>
      <c r="AH55" s="52"/>
      <c r="AI55" s="95"/>
      <c r="AJ55" s="96"/>
      <c r="AK55" s="97"/>
    </row>
    <row r="56" spans="1:37" x14ac:dyDescent="0.2">
      <c r="B56" s="82"/>
      <c r="C56" s="82"/>
      <c r="D56" s="82"/>
      <c r="E56" s="82"/>
      <c r="F56" s="82"/>
      <c r="G56" s="83"/>
      <c r="H56" s="84"/>
      <c r="I56" s="84"/>
      <c r="J56" s="84"/>
      <c r="K56" s="84"/>
      <c r="L56" s="84"/>
      <c r="M56" s="84"/>
      <c r="N56" s="84"/>
      <c r="O56" s="52"/>
      <c r="P56" s="93" t="str">
        <f>IF(Francais,"Sous-total","Subtotal")</f>
        <v>Subtotal</v>
      </c>
      <c r="Q56" s="63"/>
      <c r="R56" s="98">
        <f>SUM(R23:R54)+IF(NOT(QUOTE_Split_SoftwareHardware),SUM(AK23:AK54),0)</f>
        <v>0</v>
      </c>
      <c r="T56" s="51"/>
      <c r="U56" s="82"/>
      <c r="V56" s="82"/>
      <c r="W56" s="82"/>
      <c r="X56" s="82"/>
      <c r="Y56" s="82"/>
      <c r="Z56" s="83"/>
      <c r="AA56" s="84"/>
      <c r="AB56" s="84"/>
      <c r="AC56" s="84"/>
      <c r="AD56" s="84"/>
      <c r="AE56" s="84"/>
      <c r="AF56" s="84"/>
      <c r="AG56" s="84"/>
      <c r="AH56" s="52"/>
      <c r="AI56" s="93" t="str">
        <f>IF(Francais,"Sous-total","Subtotal")</f>
        <v>Subtotal</v>
      </c>
      <c r="AJ56" s="63"/>
      <c r="AK56" s="98">
        <f>SUM(AK23:AK54)</f>
        <v>0</v>
      </c>
    </row>
    <row r="57" spans="1:37" x14ac:dyDescent="0.2">
      <c r="B57" s="57"/>
      <c r="C57" s="57"/>
      <c r="D57" s="57"/>
      <c r="M57" s="52"/>
      <c r="O57" s="52"/>
      <c r="P57" s="93" t="str">
        <f>IF(Francais,"Frais de port","Shipping")</f>
        <v>Shipping</v>
      </c>
      <c r="Q57" s="63"/>
      <c r="R57" s="100">
        <f>QUOTE_Shipping</f>
        <v>0</v>
      </c>
      <c r="T57" s="51"/>
      <c r="U57" s="57"/>
      <c r="V57" s="57"/>
      <c r="W57" s="57"/>
      <c r="X57" s="51"/>
      <c r="Y57" s="51"/>
      <c r="Z57" s="51"/>
      <c r="AA57" s="51"/>
      <c r="AB57" s="51"/>
      <c r="AC57" s="51"/>
      <c r="AD57" s="51"/>
      <c r="AE57" s="51"/>
      <c r="AF57" s="52"/>
      <c r="AG57" s="51"/>
      <c r="AH57" s="52"/>
      <c r="AI57" s="93" t="str">
        <f>IF(Francais,"Frais de port","Shipping")</f>
        <v>Shipping</v>
      </c>
      <c r="AJ57" s="63"/>
      <c r="AK57" s="100">
        <f>QUOTE_Shipping</f>
        <v>0</v>
      </c>
    </row>
    <row r="58" spans="1:37" x14ac:dyDescent="0.2">
      <c r="M58" s="52"/>
      <c r="O58" s="52"/>
      <c r="P58" s="99" t="str">
        <f>IF(R58&gt;0,"GST (#130801764)","GST N/A")</f>
        <v>GST N/A</v>
      </c>
      <c r="Q58" s="67"/>
      <c r="R58" s="100">
        <f>(R56+IF(ISNUMBER(R57),R57,0))*
IFERROR(INDEX(TableLists[Column6],MATCH(HOME_Province_Ship,TableLists[Column5],0)),0)</f>
        <v>0</v>
      </c>
      <c r="T58" s="51"/>
      <c r="U58" s="51"/>
      <c r="V58" s="51"/>
      <c r="W58" s="51"/>
      <c r="X58" s="51"/>
      <c r="Y58" s="51"/>
      <c r="Z58" s="51"/>
      <c r="AA58" s="51"/>
      <c r="AB58" s="51"/>
      <c r="AC58" s="51"/>
      <c r="AD58" s="51"/>
      <c r="AE58" s="51"/>
      <c r="AF58" s="52"/>
      <c r="AG58" s="51"/>
      <c r="AH58" s="52"/>
      <c r="AI58" s="99" t="str">
        <f>IF(AK58&gt;0,"GST (#130801764)","GST N/A")</f>
        <v>GST N/A</v>
      </c>
      <c r="AJ58" s="67"/>
      <c r="AK58" s="100">
        <f>(AK56+IF(ISNUMBER(AK57),AK57,0))*
IFERROR(INDEX(TableLists[Column6],MATCH(HOME_Province_Ship,TableLists[Column5],0)),0)</f>
        <v>0</v>
      </c>
    </row>
    <row r="59" spans="1:37" ht="11" customHeight="1" x14ac:dyDescent="0.2">
      <c r="M59" s="52"/>
      <c r="O59" s="52"/>
      <c r="P59" s="99" t="str">
        <f>IF(IFERROR(MATCH(HOME_Province,{"QC";"PQ"},0),0)&gt;0,IF(Francais,"TVQ","QST"),IF(Francais,"TVH","HST")) &amp; IF(R59&gt;0," (#1011238609)"," N/A")</f>
        <v>HST N/A</v>
      </c>
      <c r="Q59" s="67"/>
      <c r="R59" s="100">
        <f>(R56+IF(ISNUMBER(R57),R57,0))*
IFERROR(INDEX(TableLists[Column7],MATCH(HOME_Province_Ship,TableLists[Column5],0)),0)</f>
        <v>0</v>
      </c>
      <c r="T59" s="51"/>
      <c r="U59" s="51"/>
      <c r="V59" s="51"/>
      <c r="W59" s="51"/>
      <c r="X59" s="51"/>
      <c r="Y59" s="51"/>
      <c r="Z59" s="51"/>
      <c r="AA59" s="51"/>
      <c r="AB59" s="51"/>
      <c r="AC59" s="51"/>
      <c r="AD59" s="51"/>
      <c r="AE59" s="51"/>
      <c r="AF59" s="52"/>
      <c r="AG59" s="51"/>
      <c r="AH59" s="52"/>
      <c r="AI59" s="99" t="str">
        <f>IF(IFERROR(MATCH(HOME_Province,{"QC";"PQ"},0),0)&gt;0,IF(Francais,"TVQ","QST"),IF(Francais,"TVH","HST")) &amp; IF(AK59&gt;0," (#1011238609)"," N/A")</f>
        <v>HST N/A</v>
      </c>
      <c r="AJ59" s="67"/>
      <c r="AK59" s="100">
        <f>(AK56+IF(ISNUMBER(AK57),AK57,0))*
IFERROR(INDEX(TableLists[Column7],MATCH(HOME_Province_Ship,TableLists[Column5],0)),0)</f>
        <v>0</v>
      </c>
    </row>
    <row r="60" spans="1:37" x14ac:dyDescent="0.2">
      <c r="B60" s="645" t="str">
        <f>IF(Francais,"Informations pour Virement Bancaire","Bank Information for Wire Transfer")</f>
        <v>Bank Information for Wire Transfer</v>
      </c>
      <c r="C60" s="85"/>
      <c r="D60" s="85"/>
      <c r="E60" s="84"/>
      <c r="F60" s="84"/>
      <c r="G60" s="84"/>
      <c r="H60" s="84"/>
      <c r="I60" s="84"/>
      <c r="J60" s="84"/>
      <c r="K60" s="84"/>
      <c r="L60" s="84"/>
      <c r="M60" s="84"/>
      <c r="N60" s="84"/>
      <c r="O60" s="52"/>
      <c r="P60" s="101" t="s">
        <v>21</v>
      </c>
      <c r="Q60" s="64"/>
      <c r="R60" s="102">
        <f>SUM(R56:R59)</f>
        <v>0</v>
      </c>
      <c r="T60" s="51"/>
      <c r="U60" s="645" t="str">
        <f>IF(Francais,"Informations pour Virement Bancaire","Bank Information for Wire Transfer")</f>
        <v>Bank Information for Wire Transfer</v>
      </c>
      <c r="V60" s="85"/>
      <c r="W60" s="85"/>
      <c r="X60" s="84"/>
      <c r="Y60" s="84"/>
      <c r="Z60" s="84"/>
      <c r="AA60" s="84"/>
      <c r="AB60" s="84"/>
      <c r="AC60" s="84"/>
      <c r="AD60" s="84"/>
      <c r="AE60" s="84"/>
      <c r="AF60" s="84"/>
      <c r="AG60" s="84"/>
      <c r="AH60" s="52"/>
      <c r="AI60" s="101" t="s">
        <v>21</v>
      </c>
      <c r="AJ60" s="64"/>
      <c r="AK60" s="102">
        <f>SUM(AK56:AK59)</f>
        <v>0</v>
      </c>
    </row>
    <row r="61" spans="1:37" x14ac:dyDescent="0.2">
      <c r="B61" s="123"/>
      <c r="C61" s="123"/>
      <c r="D61" s="123"/>
      <c r="E61" s="123"/>
      <c r="F61" s="123"/>
      <c r="G61" s="123"/>
      <c r="H61" s="123"/>
      <c r="I61" s="123"/>
      <c r="J61" s="123"/>
      <c r="K61" s="123"/>
      <c r="L61" s="123"/>
      <c r="M61" s="123"/>
      <c r="O61" s="52"/>
      <c r="P61" s="90"/>
      <c r="Q61" s="91"/>
      <c r="R61" s="103"/>
      <c r="T61" s="51"/>
      <c r="U61" s="56"/>
      <c r="V61" s="56"/>
      <c r="W61" s="56"/>
      <c r="X61" s="56"/>
      <c r="Y61" s="56"/>
      <c r="Z61" s="56"/>
      <c r="AA61" s="56"/>
      <c r="AB61" s="56"/>
      <c r="AC61" s="56"/>
      <c r="AD61" s="56"/>
      <c r="AE61" s="56"/>
      <c r="AF61" s="56"/>
      <c r="AG61" s="51"/>
      <c r="AH61" s="52"/>
      <c r="AI61" s="90"/>
      <c r="AJ61" s="91"/>
      <c r="AK61" s="103" t="str">
        <f>IF(OR(IndexZone=3,IndexZone=8,IndexZone=10),"USD",IF(IndexZone=5,"Euros",IF(Francais,"Dollars Canadiens","Canadian Dollars")))</f>
        <v>Euros</v>
      </c>
    </row>
    <row r="62" spans="1:37" x14ac:dyDescent="0.2">
      <c r="B62" s="123"/>
      <c r="C62" s="123"/>
      <c r="D62" s="123"/>
      <c r="E62" s="123"/>
      <c r="F62" s="123"/>
      <c r="G62" s="123"/>
      <c r="H62" s="318"/>
      <c r="I62" s="123"/>
      <c r="J62" s="123"/>
      <c r="K62" s="123"/>
      <c r="L62" s="123"/>
      <c r="M62" s="123"/>
      <c r="N62" s="733" t="str">
        <f>IF(Francais,"Voir nos conditions de ventes (page suivante)","See Sales Terms &amp; Conditions next page")</f>
        <v>See Sales Terms &amp; Conditions next page</v>
      </c>
      <c r="O62" s="733"/>
      <c r="P62" s="733"/>
      <c r="Q62" s="733"/>
      <c r="R62" s="733"/>
      <c r="T62" s="51"/>
      <c r="U62" s="56"/>
      <c r="V62" s="56"/>
      <c r="W62" s="56"/>
      <c r="X62" s="56"/>
      <c r="Y62" s="56"/>
      <c r="Z62" s="56"/>
      <c r="AA62" s="56"/>
      <c r="AB62" s="56"/>
      <c r="AC62" s="56"/>
      <c r="AD62" s="56"/>
      <c r="AE62" s="56"/>
      <c r="AF62" s="56"/>
      <c r="AG62" s="733" t="str">
        <f>N62</f>
        <v>See Sales Terms &amp; Conditions next page</v>
      </c>
      <c r="AH62" s="733"/>
      <c r="AI62" s="733"/>
      <c r="AJ62" s="733"/>
      <c r="AK62" s="733"/>
    </row>
    <row r="63" spans="1:37" x14ac:dyDescent="0.2">
      <c r="B63" s="124"/>
      <c r="C63" s="124"/>
      <c r="D63" s="124"/>
      <c r="E63" s="124"/>
      <c r="F63" s="124"/>
      <c r="G63" s="124"/>
      <c r="H63" s="124"/>
      <c r="I63" s="124"/>
      <c r="J63" s="124"/>
      <c r="N63" s="733"/>
      <c r="O63" s="733"/>
      <c r="P63" s="733"/>
      <c r="Q63" s="733"/>
      <c r="R63" s="733"/>
      <c r="T63" s="51"/>
      <c r="U63" s="54"/>
      <c r="V63" s="54"/>
      <c r="W63" s="54"/>
      <c r="X63" s="54"/>
      <c r="Y63" s="54"/>
      <c r="Z63" s="54"/>
      <c r="AA63" s="54"/>
      <c r="AB63" s="54"/>
      <c r="AC63" s="54"/>
      <c r="AD63" s="51"/>
      <c r="AE63" s="51"/>
      <c r="AF63" s="51"/>
      <c r="AG63" s="733"/>
      <c r="AH63" s="733"/>
      <c r="AI63" s="733"/>
      <c r="AJ63" s="733"/>
      <c r="AK63" s="733"/>
    </row>
    <row r="64" spans="1:37" x14ac:dyDescent="0.2">
      <c r="N64" s="322" t="str">
        <f>IF(Francais,"Préparée par","Issued by")</f>
        <v>Issued by</v>
      </c>
      <c r="P64" s="322" t="str">
        <f>Quote!O64</f>
        <v>Diane Garant</v>
      </c>
      <c r="Q64" s="321"/>
      <c r="R64" s="76" t="str">
        <f>"Page 1 " &amp; IF(Francais,"de ","of ") &amp; IF(ROWS(C_Inv!$X$23:$X$53)&gt;COUNTBLANK(C_Inv!$X$23:$X$53),IF(NOT(QUOTE_Split_SoftwareHardware),2,1),1)</f>
        <v>Page 1 of 1</v>
      </c>
      <c r="T64" s="51"/>
      <c r="U64" s="51"/>
      <c r="V64" s="51"/>
      <c r="W64" s="51"/>
      <c r="X64" s="51"/>
      <c r="Y64" s="51"/>
      <c r="Z64" s="51"/>
      <c r="AA64" s="51"/>
      <c r="AB64" s="51"/>
      <c r="AC64" s="51"/>
      <c r="AD64" s="51"/>
      <c r="AE64" s="51"/>
      <c r="AF64" s="51"/>
      <c r="AG64" s="322" t="str">
        <f>IF(Francais,"Préparée par","Issued by")</f>
        <v>Issued by</v>
      </c>
      <c r="AI64" s="322" t="str">
        <f>P64</f>
        <v>Diane Garant</v>
      </c>
      <c r="AJ64" s="51"/>
      <c r="AK64" s="104" t="str">
        <f>SUBSTITUTE("Page 2 " &amp; IF(Francais,"de ","of ") &amp; "2","2",IF(NOT(QUOTE_Split_SoftwareHardware),"2","1"))</f>
        <v>Page 2 of 2</v>
      </c>
    </row>
    <row r="65" spans="1:38" ht="2.75" customHeight="1" x14ac:dyDescent="0.2">
      <c r="A65" s="91"/>
      <c r="B65" s="91"/>
      <c r="C65" s="91"/>
      <c r="D65" s="91"/>
      <c r="E65" s="91"/>
      <c r="F65" s="91"/>
      <c r="G65" s="91"/>
      <c r="H65" s="91"/>
      <c r="I65" s="91"/>
      <c r="J65" s="91"/>
      <c r="K65" s="91"/>
      <c r="L65" s="91"/>
      <c r="M65" s="91"/>
      <c r="N65" s="91"/>
      <c r="O65" s="91"/>
      <c r="P65" s="91"/>
      <c r="Q65" s="91"/>
      <c r="R65" s="91"/>
      <c r="S65" s="51"/>
      <c r="T65" s="91"/>
      <c r="U65" s="91"/>
      <c r="V65" s="91"/>
      <c r="W65" s="91"/>
      <c r="X65" s="91"/>
      <c r="Y65" s="91"/>
      <c r="Z65" s="91"/>
      <c r="AA65" s="91"/>
      <c r="AB65" s="91"/>
      <c r="AC65" s="91"/>
      <c r="AD65" s="91"/>
      <c r="AE65" s="91"/>
      <c r="AF65" s="91"/>
      <c r="AG65" s="91"/>
      <c r="AH65" s="91"/>
      <c r="AI65" s="91"/>
      <c r="AJ65" s="91"/>
      <c r="AK65" s="91"/>
      <c r="AL65" s="51"/>
    </row>
    <row r="66" spans="1:38" x14ac:dyDescent="0.2">
      <c r="B66" s="326" t="e">
        <f ca="1">MID(CELL("filename",A1),SEARCH("[",CELL("filename",A1))+1, SEARCH("]",CELL("filename",A1))-SEARCH("[",CELL("filename",A1))-1)&amp; " " &amp; INDEX(NomsZones,IndexZone) &amp; "          " &amp; IF(OR(IndexZone=3,IndexZone=8,IndexZone=10),TauxUS,IF(IndexZone=5,TauxEuro,""))&amp; "          " &amp; SHIP_Country_Abrev</f>
        <v>#REF!</v>
      </c>
      <c r="T66" s="51"/>
      <c r="U66" s="51"/>
      <c r="V66" s="51"/>
      <c r="W66" s="51"/>
      <c r="X66" s="51"/>
      <c r="Y66" s="51"/>
      <c r="Z66" s="51"/>
      <c r="AA66" s="51"/>
      <c r="AB66" s="51"/>
      <c r="AC66" s="51"/>
      <c r="AD66" s="51"/>
      <c r="AE66" s="51"/>
      <c r="AF66" s="51"/>
      <c r="AG66" s="51"/>
      <c r="AH66" s="51"/>
      <c r="AI66" s="51"/>
      <c r="AJ66" s="51"/>
      <c r="AK66" s="51"/>
    </row>
    <row r="67" spans="1:38" x14ac:dyDescent="0.2">
      <c r="A67"/>
      <c r="B67"/>
      <c r="C67"/>
      <c r="D67"/>
      <c r="E67"/>
      <c r="F67"/>
      <c r="G67"/>
      <c r="H67"/>
      <c r="I67"/>
      <c r="J67"/>
      <c r="K67"/>
      <c r="L67"/>
      <c r="M67"/>
      <c r="N67"/>
      <c r="O67"/>
      <c r="P67"/>
      <c r="Q67"/>
      <c r="T67" s="51"/>
      <c r="U67" s="51"/>
      <c r="V67" s="51"/>
      <c r="W67" s="51"/>
      <c r="X67" s="51"/>
      <c r="Y67" s="51"/>
      <c r="Z67" s="51"/>
      <c r="AA67" s="51"/>
      <c r="AB67" s="51"/>
      <c r="AC67" s="51"/>
      <c r="AD67" s="51"/>
      <c r="AE67" s="51"/>
      <c r="AF67" s="51"/>
      <c r="AG67" s="51"/>
      <c r="AH67" s="51"/>
      <c r="AI67" s="51"/>
      <c r="AJ67" s="51"/>
      <c r="AK67" s="51"/>
    </row>
    <row r="68" spans="1:38" x14ac:dyDescent="0.2">
      <c r="A68"/>
      <c r="B68"/>
      <c r="C68"/>
      <c r="D68"/>
      <c r="E68"/>
      <c r="F68"/>
      <c r="G68"/>
      <c r="H68"/>
      <c r="I68"/>
      <c r="J68"/>
      <c r="K68"/>
      <c r="L68"/>
      <c r="M68"/>
      <c r="N68"/>
      <c r="O68"/>
      <c r="P68"/>
      <c r="Q68"/>
      <c r="T68" s="51"/>
      <c r="U68" s="51"/>
      <c r="V68" s="51"/>
      <c r="W68" s="51"/>
      <c r="X68" s="51"/>
      <c r="Y68" s="51"/>
      <c r="Z68" s="51"/>
      <c r="AA68" s="51"/>
      <c r="AB68" s="51"/>
      <c r="AC68" s="51"/>
      <c r="AD68" s="51"/>
      <c r="AE68" s="51"/>
      <c r="AF68" s="51"/>
      <c r="AG68" s="51"/>
      <c r="AH68" s="51"/>
      <c r="AI68" s="51"/>
      <c r="AJ68" s="51"/>
      <c r="AK68" s="51"/>
    </row>
    <row r="69" spans="1:38" x14ac:dyDescent="0.2">
      <c r="A69"/>
      <c r="B69"/>
      <c r="C69"/>
      <c r="D69"/>
      <c r="E69"/>
      <c r="F69"/>
      <c r="G69"/>
      <c r="H69"/>
      <c r="I69"/>
      <c r="J69"/>
      <c r="K69"/>
      <c r="L69"/>
      <c r="M69"/>
      <c r="N69"/>
      <c r="O69"/>
      <c r="P69"/>
      <c r="Q69"/>
      <c r="T69" s="51"/>
      <c r="U69" s="51"/>
      <c r="V69" s="51"/>
      <c r="W69" s="51"/>
      <c r="X69" s="51"/>
      <c r="Y69" s="51"/>
      <c r="Z69" s="51"/>
      <c r="AA69" s="51"/>
      <c r="AB69" s="51"/>
      <c r="AC69" s="51"/>
      <c r="AD69" s="51"/>
      <c r="AE69" s="51"/>
      <c r="AF69" s="51"/>
      <c r="AG69" s="51"/>
      <c r="AH69" s="51"/>
      <c r="AI69" s="51"/>
      <c r="AJ69" s="51"/>
      <c r="AK69" s="51"/>
    </row>
    <row r="70" spans="1:38" x14ac:dyDescent="0.2">
      <c r="A70"/>
      <c r="B70"/>
      <c r="C70"/>
      <c r="D70"/>
      <c r="E70"/>
      <c r="F70"/>
      <c r="G70"/>
      <c r="H70"/>
      <c r="I70"/>
      <c r="J70"/>
      <c r="K70"/>
      <c r="L70"/>
      <c r="M70"/>
      <c r="N70"/>
      <c r="O70"/>
      <c r="P70"/>
      <c r="Q70"/>
      <c r="R70"/>
    </row>
    <row r="71" spans="1:38" x14ac:dyDescent="0.2">
      <c r="A71"/>
      <c r="B71"/>
      <c r="C71"/>
      <c r="D71"/>
      <c r="E71"/>
      <c r="F71"/>
      <c r="G71"/>
      <c r="H71"/>
      <c r="I71"/>
      <c r="J71"/>
      <c r="K71"/>
      <c r="L71"/>
      <c r="M71"/>
      <c r="N71"/>
      <c r="O71"/>
      <c r="P71"/>
      <c r="Q71"/>
      <c r="R71"/>
    </row>
    <row r="72" spans="1:38" x14ac:dyDescent="0.2">
      <c r="A72"/>
      <c r="B72"/>
      <c r="C72"/>
      <c r="D72"/>
      <c r="E72"/>
      <c r="F72"/>
      <c r="G72"/>
      <c r="H72"/>
      <c r="I72"/>
      <c r="J72"/>
      <c r="K72"/>
      <c r="L72"/>
      <c r="M72"/>
      <c r="N72"/>
      <c r="O72"/>
      <c r="P72"/>
      <c r="Q72"/>
      <c r="R72"/>
    </row>
    <row r="73" spans="1:38" x14ac:dyDescent="0.2">
      <c r="A73"/>
      <c r="B73"/>
      <c r="C73"/>
      <c r="D73"/>
      <c r="E73"/>
      <c r="F73"/>
      <c r="G73"/>
      <c r="H73"/>
      <c r="I73"/>
      <c r="J73"/>
      <c r="K73"/>
      <c r="L73"/>
      <c r="M73"/>
      <c r="N73"/>
      <c r="O73"/>
      <c r="P73"/>
      <c r="Q73"/>
      <c r="R73"/>
    </row>
    <row r="74" spans="1:38" x14ac:dyDescent="0.2">
      <c r="A74"/>
      <c r="B74"/>
      <c r="C74"/>
      <c r="D74"/>
      <c r="E74"/>
      <c r="F74"/>
      <c r="G74"/>
      <c r="H74"/>
      <c r="I74"/>
      <c r="J74"/>
      <c r="K74"/>
      <c r="L74"/>
      <c r="M74"/>
      <c r="N74"/>
      <c r="O74"/>
      <c r="P74"/>
      <c r="Q74"/>
      <c r="R74"/>
    </row>
    <row r="75" spans="1:38" x14ac:dyDescent="0.2">
      <c r="A75"/>
      <c r="B75"/>
      <c r="C75"/>
      <c r="D75"/>
      <c r="E75"/>
      <c r="F75"/>
      <c r="G75"/>
      <c r="H75"/>
      <c r="I75"/>
      <c r="J75"/>
      <c r="K75"/>
      <c r="L75"/>
      <c r="M75"/>
      <c r="N75"/>
      <c r="O75"/>
      <c r="P75"/>
      <c r="Q75"/>
      <c r="R75"/>
    </row>
    <row r="76" spans="1:38" x14ac:dyDescent="0.2">
      <c r="A76"/>
      <c r="B76"/>
      <c r="C76"/>
      <c r="D76"/>
      <c r="E76"/>
      <c r="F76"/>
      <c r="G76"/>
      <c r="H76"/>
      <c r="I76"/>
      <c r="J76"/>
      <c r="K76"/>
      <c r="L76"/>
      <c r="M76"/>
      <c r="N76"/>
      <c r="O76"/>
      <c r="P76"/>
      <c r="Q76"/>
      <c r="R76"/>
    </row>
    <row r="77" spans="1:38" x14ac:dyDescent="0.2">
      <c r="A77"/>
      <c r="B77"/>
      <c r="C77"/>
      <c r="D77"/>
      <c r="E77"/>
      <c r="F77"/>
      <c r="G77"/>
      <c r="H77"/>
      <c r="I77"/>
      <c r="J77"/>
      <c r="K77"/>
      <c r="L77"/>
      <c r="M77"/>
      <c r="N77"/>
      <c r="O77"/>
      <c r="P77"/>
      <c r="Q77"/>
      <c r="R77"/>
    </row>
    <row r="78" spans="1:38" ht="15.75" customHeight="1" x14ac:dyDescent="0.2">
      <c r="A78"/>
      <c r="B78"/>
      <c r="C78"/>
      <c r="D78"/>
      <c r="E78"/>
      <c r="F78"/>
      <c r="G78"/>
      <c r="H78"/>
      <c r="I78"/>
      <c r="J78"/>
      <c r="K78"/>
      <c r="L78"/>
      <c r="M78"/>
      <c r="N78"/>
      <c r="O78"/>
      <c r="P78"/>
      <c r="Q78"/>
      <c r="R78"/>
    </row>
    <row r="79" spans="1:38" ht="15.75" customHeight="1" x14ac:dyDescent="0.2">
      <c r="A79"/>
      <c r="B79"/>
      <c r="C79"/>
      <c r="D79"/>
      <c r="E79"/>
      <c r="F79"/>
      <c r="G79"/>
      <c r="H79"/>
      <c r="I79"/>
      <c r="J79"/>
      <c r="K79"/>
      <c r="L79"/>
      <c r="M79"/>
      <c r="N79"/>
      <c r="O79"/>
      <c r="P79"/>
      <c r="Q79"/>
      <c r="R79"/>
    </row>
    <row r="80" spans="1:38" ht="15.75" customHeight="1" x14ac:dyDescent="0.2">
      <c r="A80"/>
      <c r="B80"/>
      <c r="C80"/>
      <c r="D80"/>
      <c r="E80"/>
      <c r="F80"/>
      <c r="G80"/>
      <c r="H80"/>
      <c r="I80"/>
      <c r="J80"/>
      <c r="K80"/>
      <c r="L80"/>
      <c r="M80"/>
      <c r="N80"/>
      <c r="O80"/>
      <c r="P80"/>
      <c r="Q80"/>
      <c r="R80"/>
    </row>
    <row r="81" customForma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x14ac:dyDescent="0.2"/>
    <row r="111" customFormat="1" x14ac:dyDescent="0.2"/>
    <row r="112" customFormat="1" x14ac:dyDescent="0.2"/>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R115"/>
    </row>
    <row r="116" spans="1:18" x14ac:dyDescent="0.2">
      <c r="R116"/>
    </row>
  </sheetData>
  <sheetProtection algorithmName="SHA-512" hashValue="Wh21MCsYOChm3nJJJcfhZykwfpXcFgpdQ7C0frMVlYzdHJfUDjcV4An5s6qVVrpSpwY+BYliRh0ZBEkqQmongg==" saltValue="SQ4nRvniAkxKiUayK6VVBA==" spinCount="100000" sheet="1" objects="1" scenarios="1" selectLockedCells="1"/>
  <mergeCells count="239">
    <mergeCell ref="AF6:AI6"/>
    <mergeCell ref="AJ6:AK6"/>
    <mergeCell ref="U9:Z10"/>
    <mergeCell ref="AB9:AE10"/>
    <mergeCell ref="AG9:AK10"/>
    <mergeCell ref="I7:J7"/>
    <mergeCell ref="K7:L7"/>
    <mergeCell ref="M7:P7"/>
    <mergeCell ref="Q7:R7"/>
    <mergeCell ref="AF7:AI7"/>
    <mergeCell ref="AJ7:AK7"/>
    <mergeCell ref="I6:J6"/>
    <mergeCell ref="Q1:R1"/>
    <mergeCell ref="AJ1:AK1"/>
    <mergeCell ref="M2:P2"/>
    <mergeCell ref="Q2:R2"/>
    <mergeCell ref="AF2:AI2"/>
    <mergeCell ref="AJ2:AK2"/>
    <mergeCell ref="M5:P5"/>
    <mergeCell ref="Q5:R5"/>
    <mergeCell ref="AF5:AI5"/>
    <mergeCell ref="AJ5:AK5"/>
    <mergeCell ref="M3:P3"/>
    <mergeCell ref="Q3:R3"/>
    <mergeCell ref="AF3:AI3"/>
    <mergeCell ref="AJ3:AK3"/>
    <mergeCell ref="M4:P4"/>
    <mergeCell ref="Q4:R4"/>
    <mergeCell ref="AF4:AI4"/>
    <mergeCell ref="AJ4:AK4"/>
    <mergeCell ref="AG12:AI12"/>
    <mergeCell ref="AJ12:AK12"/>
    <mergeCell ref="B13:G13"/>
    <mergeCell ref="I13:L13"/>
    <mergeCell ref="N13:P13"/>
    <mergeCell ref="Q13:R13"/>
    <mergeCell ref="U13:Z13"/>
    <mergeCell ref="AB13:AE13"/>
    <mergeCell ref="AG13:AI13"/>
    <mergeCell ref="AJ13:AK13"/>
    <mergeCell ref="B12:G12"/>
    <mergeCell ref="I12:L12"/>
    <mergeCell ref="N12:P12"/>
    <mergeCell ref="Q12:R12"/>
    <mergeCell ref="U12:Z12"/>
    <mergeCell ref="AB12:AE12"/>
    <mergeCell ref="AG14:AI14"/>
    <mergeCell ref="AJ14:AK14"/>
    <mergeCell ref="N15:P15"/>
    <mergeCell ref="Q15:R15"/>
    <mergeCell ref="AG15:AI15"/>
    <mergeCell ref="AJ15:AK15"/>
    <mergeCell ref="B14:G14"/>
    <mergeCell ref="I14:L14"/>
    <mergeCell ref="N14:P14"/>
    <mergeCell ref="Q14:R14"/>
    <mergeCell ref="U14:Z14"/>
    <mergeCell ref="AB14:AE14"/>
    <mergeCell ref="B15:G15"/>
    <mergeCell ref="I15:L15"/>
    <mergeCell ref="U15:Z15"/>
    <mergeCell ref="AB15:AE15"/>
    <mergeCell ref="AG16:AI16"/>
    <mergeCell ref="AJ16:AK16"/>
    <mergeCell ref="B17:G17"/>
    <mergeCell ref="I17:L17"/>
    <mergeCell ref="N17:P17"/>
    <mergeCell ref="Q17:R17"/>
    <mergeCell ref="U17:Z17"/>
    <mergeCell ref="AB17:AE17"/>
    <mergeCell ref="AG17:AI17"/>
    <mergeCell ref="AJ17:AK17"/>
    <mergeCell ref="B16:G16"/>
    <mergeCell ref="I16:L16"/>
    <mergeCell ref="N16:P16"/>
    <mergeCell ref="Q16:R16"/>
    <mergeCell ref="U16:Z16"/>
    <mergeCell ref="AB16:AE16"/>
    <mergeCell ref="AG18:AI18"/>
    <mergeCell ref="AJ18:AK19"/>
    <mergeCell ref="B19:C19"/>
    <mergeCell ref="D19:G19"/>
    <mergeCell ref="I19:J19"/>
    <mergeCell ref="K19:L19"/>
    <mergeCell ref="U19:V19"/>
    <mergeCell ref="W19:Z19"/>
    <mergeCell ref="AB19:AC19"/>
    <mergeCell ref="AD19:AE19"/>
    <mergeCell ref="C18:G18"/>
    <mergeCell ref="J18:L18"/>
    <mergeCell ref="N18:P18"/>
    <mergeCell ref="Q18:R19"/>
    <mergeCell ref="V18:Z18"/>
    <mergeCell ref="AC18:AE18"/>
    <mergeCell ref="X23:AG23"/>
    <mergeCell ref="AH23:AI23"/>
    <mergeCell ref="E24:N24"/>
    <mergeCell ref="O24:P24"/>
    <mergeCell ref="X24:AG24"/>
    <mergeCell ref="AH24:AI24"/>
    <mergeCell ref="E21:F21"/>
    <mergeCell ref="O21:P21"/>
    <mergeCell ref="X21:Y21"/>
    <mergeCell ref="AH21:AI21"/>
    <mergeCell ref="E22:N22"/>
    <mergeCell ref="O22:P22"/>
    <mergeCell ref="X22:AG22"/>
    <mergeCell ref="AH22:AI22"/>
    <mergeCell ref="X27:AG27"/>
    <mergeCell ref="AH27:AI27"/>
    <mergeCell ref="E28:N28"/>
    <mergeCell ref="O28:P28"/>
    <mergeCell ref="X28:AG28"/>
    <mergeCell ref="AH28:AI28"/>
    <mergeCell ref="E25:N25"/>
    <mergeCell ref="O25:P25"/>
    <mergeCell ref="X25:AG25"/>
    <mergeCell ref="AH25:AI25"/>
    <mergeCell ref="E26:N26"/>
    <mergeCell ref="O26:P26"/>
    <mergeCell ref="X26:AG26"/>
    <mergeCell ref="AH26:AI26"/>
    <mergeCell ref="X31:AG31"/>
    <mergeCell ref="AH31:AI31"/>
    <mergeCell ref="E32:N32"/>
    <mergeCell ref="O32:P32"/>
    <mergeCell ref="X32:AG32"/>
    <mergeCell ref="AH32:AI32"/>
    <mergeCell ref="E29:N29"/>
    <mergeCell ref="O29:P29"/>
    <mergeCell ref="X29:AG29"/>
    <mergeCell ref="AH29:AI29"/>
    <mergeCell ref="E30:N30"/>
    <mergeCell ref="O30:P30"/>
    <mergeCell ref="X30:AG30"/>
    <mergeCell ref="AH30:AI30"/>
    <mergeCell ref="X35:AG35"/>
    <mergeCell ref="AH35:AI35"/>
    <mergeCell ref="E36:N36"/>
    <mergeCell ref="O36:P36"/>
    <mergeCell ref="X36:AG36"/>
    <mergeCell ref="AH36:AI36"/>
    <mergeCell ref="E33:N33"/>
    <mergeCell ref="O33:P33"/>
    <mergeCell ref="X33:AG33"/>
    <mergeCell ref="AH33:AI33"/>
    <mergeCell ref="E34:N34"/>
    <mergeCell ref="O34:P34"/>
    <mergeCell ref="X34:AG34"/>
    <mergeCell ref="AH34:AI34"/>
    <mergeCell ref="X39:AG39"/>
    <mergeCell ref="AH39:AI39"/>
    <mergeCell ref="E40:N40"/>
    <mergeCell ref="O40:P40"/>
    <mergeCell ref="X40:AG40"/>
    <mergeCell ref="AH40:AI40"/>
    <mergeCell ref="E37:N37"/>
    <mergeCell ref="O37:P37"/>
    <mergeCell ref="X37:AG37"/>
    <mergeCell ref="AH37:AI37"/>
    <mergeCell ref="E38:N38"/>
    <mergeCell ref="O38:P38"/>
    <mergeCell ref="X38:AG38"/>
    <mergeCell ref="AH38:AI38"/>
    <mergeCell ref="X43:AG43"/>
    <mergeCell ref="AH43:AI43"/>
    <mergeCell ref="E44:N44"/>
    <mergeCell ref="O44:P44"/>
    <mergeCell ref="X44:AG44"/>
    <mergeCell ref="AH44:AI44"/>
    <mergeCell ref="E41:N41"/>
    <mergeCell ref="O41:P41"/>
    <mergeCell ref="X41:AG41"/>
    <mergeCell ref="AH41:AI41"/>
    <mergeCell ref="E42:N42"/>
    <mergeCell ref="O42:P42"/>
    <mergeCell ref="X42:AG42"/>
    <mergeCell ref="AH42:AI42"/>
    <mergeCell ref="X47:AG47"/>
    <mergeCell ref="AH47:AI47"/>
    <mergeCell ref="E48:N48"/>
    <mergeCell ref="O48:P48"/>
    <mergeCell ref="X48:AG48"/>
    <mergeCell ref="AH48:AI48"/>
    <mergeCell ref="E45:N45"/>
    <mergeCell ref="O45:P45"/>
    <mergeCell ref="X45:AG45"/>
    <mergeCell ref="AH45:AI45"/>
    <mergeCell ref="E46:N46"/>
    <mergeCell ref="O46:P46"/>
    <mergeCell ref="X46:AG46"/>
    <mergeCell ref="AH46:AI46"/>
    <mergeCell ref="X51:AG51"/>
    <mergeCell ref="AH51:AI51"/>
    <mergeCell ref="E52:N52"/>
    <mergeCell ref="O52:P52"/>
    <mergeCell ref="X52:AG52"/>
    <mergeCell ref="AH52:AI52"/>
    <mergeCell ref="E49:N49"/>
    <mergeCell ref="O49:P49"/>
    <mergeCell ref="X49:AG49"/>
    <mergeCell ref="AH49:AI49"/>
    <mergeCell ref="E50:N50"/>
    <mergeCell ref="O50:P50"/>
    <mergeCell ref="X50:AG50"/>
    <mergeCell ref="AH50:AI50"/>
    <mergeCell ref="AG62:AK63"/>
    <mergeCell ref="E53:N53"/>
    <mergeCell ref="O53:P53"/>
    <mergeCell ref="X53:AG53"/>
    <mergeCell ref="AH53:AI53"/>
    <mergeCell ref="F54:N54"/>
    <mergeCell ref="O54:P54"/>
    <mergeCell ref="Y54:AG54"/>
    <mergeCell ref="AH54:AI54"/>
    <mergeCell ref="I5:J5"/>
    <mergeCell ref="N62:R63"/>
    <mergeCell ref="E51:N51"/>
    <mergeCell ref="O51:P51"/>
    <mergeCell ref="E47:N47"/>
    <mergeCell ref="O47:P47"/>
    <mergeCell ref="E43:N43"/>
    <mergeCell ref="O43:P43"/>
    <mergeCell ref="E39:N39"/>
    <mergeCell ref="O39:P39"/>
    <mergeCell ref="E35:N35"/>
    <mergeCell ref="O35:P35"/>
    <mergeCell ref="E31:N31"/>
    <mergeCell ref="O31:P31"/>
    <mergeCell ref="E27:N27"/>
    <mergeCell ref="O27:P27"/>
    <mergeCell ref="E23:N23"/>
    <mergeCell ref="O23:P23"/>
    <mergeCell ref="B9:G10"/>
    <mergeCell ref="I9:L10"/>
    <mergeCell ref="N9:R10"/>
    <mergeCell ref="K6:L6"/>
    <mergeCell ref="M6:P6"/>
    <mergeCell ref="Q6:R6"/>
  </mergeCells>
  <conditionalFormatting sqref="AI55:AK61">
    <cfRule type="expression" dxfId="10" priority="1">
      <formula>IF(QUOTE_Split_SoftwareHardware,0,1)</formula>
    </cfRule>
  </conditionalFormatting>
  <pageMargins left="0.23622047244094491" right="0.23622047244094491" top="0.31496062992125984" bottom="0.11811023622047245" header="0.31496062992125984" footer="0.70866141732283472"/>
  <pageSetup scale="99" orientation="portrait" horizontalDpi="1200" verticalDpi="120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8274" r:id="rId4" name="CheckboxDetailedPrices">
              <controlPr defaultSize="0" autoFill="0" autoLine="0" autoPict="0" altText="Detailed Prices">
                <anchor moveWithCells="1">
                  <from>
                    <xdr:col>7</xdr:col>
                    <xdr:colOff>25400</xdr:colOff>
                    <xdr:row>5</xdr:row>
                    <xdr:rowOff>25400</xdr:rowOff>
                  </from>
                  <to>
                    <xdr:col>8</xdr:col>
                    <xdr:colOff>127000</xdr:colOff>
                    <xdr:row>6</xdr:row>
                    <xdr:rowOff>25400</xdr:rowOff>
                  </to>
                </anchor>
              </controlPr>
            </control>
          </mc:Choice>
        </mc:AlternateContent>
        <mc:AlternateContent xmlns:mc="http://schemas.openxmlformats.org/markup-compatibility/2006">
          <mc:Choice Requires="x14">
            <control shapeId="438275" r:id="rId5" name="CheckboxSameClient">
              <controlPr defaultSize="0" autoFill="0" autoLine="0" autoPict="0" altText="Detailed Prices">
                <anchor moveWithCells="1">
                  <from>
                    <xdr:col>7</xdr:col>
                    <xdr:colOff>25400</xdr:colOff>
                    <xdr:row>3</xdr:row>
                    <xdr:rowOff>139700</xdr:rowOff>
                  </from>
                  <to>
                    <xdr:col>8</xdr:col>
                    <xdr:colOff>127000</xdr:colOff>
                    <xdr:row>4</xdr:row>
                    <xdr:rowOff>139700</xdr:rowOff>
                  </to>
                </anchor>
              </controlPr>
            </control>
          </mc:Choice>
        </mc:AlternateContent>
        <mc:AlternateContent xmlns:mc="http://schemas.openxmlformats.org/markup-compatibility/2006">
          <mc:Choice Requires="x14">
            <control shapeId="438276" r:id="rId6" name="CheckboxSoftwareHardware">
              <controlPr defaultSize="0" autoFill="0" autoLine="0" autoPict="0" altText="Detailed Prices">
                <anchor moveWithCells="1">
                  <from>
                    <xdr:col>7</xdr:col>
                    <xdr:colOff>25400</xdr:colOff>
                    <xdr:row>6</xdr:row>
                    <xdr:rowOff>25400</xdr:rowOff>
                  </from>
                  <to>
                    <xdr:col>8</xdr:col>
                    <xdr:colOff>127000</xdr:colOff>
                    <xdr:row>7</xdr:row>
                    <xdr:rowOff>25400</xdr:rowOff>
                  </to>
                </anchor>
              </controlPr>
            </control>
          </mc:Choice>
        </mc:AlternateContent>
        <mc:AlternateContent xmlns:mc="http://schemas.openxmlformats.org/markup-compatibility/2006">
          <mc:Choice Requires="x14">
            <control shapeId="438277" r:id="rId7" name="CheckboxFilledByCustomer">
              <controlPr defaultSize="0" autoFill="0" autoLine="0" autoPict="0" altText="Detailed Prices">
                <anchor moveWithCells="1">
                  <from>
                    <xdr:col>9</xdr:col>
                    <xdr:colOff>787400</xdr:colOff>
                    <xdr:row>5</xdr:row>
                    <xdr:rowOff>25400</xdr:rowOff>
                  </from>
                  <to>
                    <xdr:col>10</xdr:col>
                    <xdr:colOff>127000</xdr:colOff>
                    <xdr:row>6</xdr:row>
                    <xdr:rowOff>25400</xdr:rowOff>
                  </to>
                </anchor>
              </controlPr>
            </control>
          </mc:Choice>
        </mc:AlternateContent>
        <mc:AlternateContent xmlns:mc="http://schemas.openxmlformats.org/markup-compatibility/2006">
          <mc:Choice Requires="x14">
            <control shapeId="438278" r:id="rId8" name="CheckBoxInternetDownload">
              <controlPr defaultSize="0" autoFill="0" autoLine="0" autoPict="0" altText="Detailed Prices">
                <anchor moveWithCells="1">
                  <from>
                    <xdr:col>9</xdr:col>
                    <xdr:colOff>787400</xdr:colOff>
                    <xdr:row>6</xdr:row>
                    <xdr:rowOff>25400</xdr:rowOff>
                  </from>
                  <to>
                    <xdr:col>10</xdr:col>
                    <xdr:colOff>127000</xdr:colOff>
                    <xdr:row>7</xdr:row>
                    <xdr:rowOff>25400</xdr:rowOff>
                  </to>
                </anchor>
              </controlPr>
            </control>
          </mc:Choice>
        </mc:AlternateContent>
        <mc:AlternateContent xmlns:mc="http://schemas.openxmlformats.org/markup-compatibility/2006">
          <mc:Choice Requires="x14">
            <control shapeId="438273" r:id="rId9" name="Button 1">
              <controlPr defaultSize="0" print="0" autoFill="0" autoPict="0" macro="[0]!InvoiceTextBoxButtons_PaidFull">
                <anchor moveWithCells="1" sizeWithCells="1">
                  <from>
                    <xdr:col>4</xdr:col>
                    <xdr:colOff>63500</xdr:colOff>
                    <xdr:row>55</xdr:row>
                    <xdr:rowOff>25400</xdr:rowOff>
                  </from>
                  <to>
                    <xdr:col>6</xdr:col>
                    <xdr:colOff>368300</xdr:colOff>
                    <xdr:row>55</xdr:row>
                    <xdr:rowOff>177800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1" tint="0.34998626667073579"/>
    <pageSetUpPr fitToPage="1"/>
  </sheetPr>
  <dimension ref="A1:Q444"/>
  <sheetViews>
    <sheetView showGridLines="0" topLeftCell="A3" zoomScaleNormal="100" workbookViewId="0"/>
  </sheetViews>
  <sheetFormatPr baseColWidth="10" defaultColWidth="8.6640625" defaultRowHeight="16.25" customHeight="1" x14ac:dyDescent="0.2"/>
  <cols>
    <col min="1" max="1" width="1.6640625" style="17" customWidth="1"/>
    <col min="2" max="2" width="7.1640625" hidden="1" customWidth="1"/>
    <col min="3" max="3" width="11.5" style="17" customWidth="1"/>
    <col min="4" max="4" width="12.1640625" style="17" customWidth="1"/>
    <col min="5" max="5" width="14.1640625" style="17" customWidth="1"/>
    <col min="6" max="6" width="12.1640625" style="17" customWidth="1"/>
    <col min="7" max="7" width="7.6640625" style="17" customWidth="1"/>
    <col min="8" max="8" width="10.6640625" style="4" customWidth="1"/>
    <col min="9" max="9" width="12.1640625" style="17" customWidth="1"/>
    <col min="10" max="10" width="14" style="17" customWidth="1"/>
    <col min="11" max="11" width="6.33203125" style="4" customWidth="1"/>
    <col min="12" max="12" width="15.1640625" style="17" customWidth="1"/>
    <col min="13" max="13" width="10.5" style="17" customWidth="1"/>
    <col min="14" max="15" width="14.1640625" customWidth="1"/>
    <col min="18" max="18" width="9.83203125" bestFit="1" customWidth="1"/>
  </cols>
  <sheetData>
    <row r="1" spans="1:17" ht="16.25" hidden="1" customHeight="1" x14ac:dyDescent="0.25">
      <c r="A1" s="303"/>
      <c r="B1" s="302"/>
      <c r="C1" s="302"/>
      <c r="D1" s="302"/>
      <c r="E1" s="302"/>
      <c r="F1" s="302"/>
      <c r="G1" s="315"/>
      <c r="H1" s="310"/>
      <c r="I1" s="302"/>
      <c r="J1" s="303"/>
      <c r="K1" s="41"/>
      <c r="L1" s="310"/>
      <c r="M1" s="310"/>
      <c r="N1" s="302"/>
      <c r="O1" s="302"/>
      <c r="P1" s="302"/>
      <c r="Q1" s="302"/>
    </row>
    <row r="2" spans="1:17" ht="16.25" hidden="1" customHeight="1" x14ac:dyDescent="0.2">
      <c r="A2" s="303"/>
      <c r="B2" s="304"/>
      <c r="C2" s="303"/>
      <c r="D2" s="303"/>
      <c r="E2" s="303"/>
      <c r="F2" s="303"/>
      <c r="G2" s="303"/>
      <c r="H2" s="41"/>
      <c r="I2" s="302"/>
      <c r="J2" s="303"/>
      <c r="K2" s="41"/>
      <c r="L2" s="310"/>
      <c r="M2" s="310"/>
      <c r="N2" s="302"/>
      <c r="O2" s="302"/>
      <c r="P2" s="302"/>
      <c r="Q2" s="302"/>
    </row>
    <row r="3" spans="1:17" ht="16.25" customHeight="1" x14ac:dyDescent="0.25">
      <c r="A3" s="303"/>
      <c r="B3" s="302"/>
      <c r="C3" s="303"/>
      <c r="D3" s="305" t="str">
        <f>"# Client"</f>
        <v># Client</v>
      </c>
      <c r="E3" s="703" t="str">
        <f>Quote!P6</f>
        <v/>
      </c>
      <c r="F3" s="305" t="s">
        <v>185</v>
      </c>
      <c r="G3" s="826" t="str">
        <f>Quote!N1</f>
        <v>Email this quote (the .xls file) to validate it</v>
      </c>
      <c r="H3" s="826"/>
      <c r="I3" s="534" t="s">
        <v>145</v>
      </c>
      <c r="J3" s="826">
        <f>Home!B10</f>
        <v>0</v>
      </c>
      <c r="K3" s="826"/>
      <c r="L3" s="302"/>
      <c r="M3" s="302"/>
      <c r="N3" s="302"/>
      <c r="O3" s="302"/>
      <c r="P3" s="302"/>
      <c r="Q3" s="302"/>
    </row>
    <row r="4" spans="1:17" ht="16.25" customHeight="1" x14ac:dyDescent="0.2">
      <c r="A4" s="303"/>
      <c r="B4" s="302"/>
      <c r="C4" s="396" t="s">
        <v>267</v>
      </c>
      <c r="D4" s="303"/>
      <c r="E4" s="303"/>
      <c r="F4" s="303"/>
      <c r="G4" s="303"/>
      <c r="H4" s="41"/>
      <c r="I4" s="303"/>
      <c r="J4" s="302"/>
      <c r="K4" s="302"/>
      <c r="L4" s="302"/>
      <c r="M4" s="302"/>
      <c r="N4" s="302"/>
      <c r="O4" s="302"/>
      <c r="P4" s="302"/>
      <c r="Q4" s="302"/>
    </row>
    <row r="5" spans="1:17" ht="16.25" hidden="1" customHeight="1" x14ac:dyDescent="0.2">
      <c r="A5" s="303"/>
      <c r="B5" s="302"/>
      <c r="C5" s="302"/>
      <c r="D5" s="302"/>
      <c r="E5" s="302"/>
      <c r="F5" s="302"/>
      <c r="G5" s="302"/>
      <c r="H5" s="302"/>
      <c r="I5" s="302"/>
      <c r="J5" s="302"/>
      <c r="K5" s="302"/>
      <c r="L5" s="302"/>
      <c r="M5" s="302"/>
      <c r="N5" s="302"/>
      <c r="O5" s="302"/>
      <c r="P5" s="302"/>
      <c r="Q5" s="302"/>
    </row>
    <row r="6" spans="1:17" ht="16.25" customHeight="1" x14ac:dyDescent="0.2">
      <c r="A6" s="303"/>
      <c r="B6" s="302"/>
      <c r="C6" s="535" t="e">
        <f>IF((Quote!Q56/IF(OR(IndexZone=3,IndexZone=8,IndexZone=10),TauxUS,IF(IndexZone=5,TauxEuro,1)))&gt;2000,IF(OR(IndexZone=2,IndexZone=3),"NAFTA","No. CERS"),"")</f>
        <v>#REF!</v>
      </c>
      <c r="D6" s="844"/>
      <c r="E6" s="845"/>
      <c r="F6" s="846"/>
      <c r="G6" s="366" t="e">
        <f>IF((Quote!Q56/IF(OR(IndexZone=3,IndexZone=8,IndexZone=10),TauxUS,IF(IndexZone=5,TauxEuro,1)))&gt;2000,IF(OR(IndexZone=2,IndexZone=3),"+",""),"")</f>
        <v>#REF!</v>
      </c>
      <c r="H6" s="365"/>
      <c r="I6" s="367" t="e">
        <f>IF((Quote!Q56/IF(OR(IndexZone=3,IndexZone=8,IndexZone=10),TauxUS,IF(IndexZone=5,TauxEuro,1)))&gt;2000,IF(OR(IndexZone=2,IndexZone=3),"Scanner Formulaire",""),"")</f>
        <v>#REF!</v>
      </c>
      <c r="J6" s="842"/>
      <c r="K6" s="843"/>
      <c r="L6" s="368" t="s">
        <v>152</v>
      </c>
      <c r="M6" s="303"/>
      <c r="N6" s="302"/>
      <c r="O6" s="302"/>
      <c r="P6" s="302"/>
      <c r="Q6" s="302"/>
    </row>
    <row r="7" spans="1:17" ht="16.25" customHeight="1" thickBot="1" x14ac:dyDescent="0.25">
      <c r="A7" s="303"/>
      <c r="B7" s="302"/>
      <c r="C7" s="573" t="s">
        <v>319</v>
      </c>
      <c r="D7" s="832" t="str">
        <f>IF(ISBLANK(Quote!P12),"",Quote!P12)</f>
        <v/>
      </c>
      <c r="E7" s="847"/>
      <c r="F7" s="833"/>
      <c r="G7" s="369" t="s">
        <v>151</v>
      </c>
      <c r="H7" s="371" t="str">
        <f>IF(ISBLANK(Quote!P13),"",Quote!P13)</f>
        <v/>
      </c>
      <c r="I7" s="370" t="s">
        <v>162</v>
      </c>
      <c r="J7" s="832" t="str">
        <f>IF(ISBLANK(Inv!Q1),"",Inv!Q1)</f>
        <v/>
      </c>
      <c r="K7" s="833"/>
      <c r="L7" s="540" t="s">
        <v>153</v>
      </c>
      <c r="M7" s="371"/>
      <c r="N7" s="302"/>
      <c r="O7" s="302"/>
      <c r="P7" s="302"/>
      <c r="Q7" s="302"/>
    </row>
    <row r="8" spans="1:17" ht="16.25" customHeight="1" thickTop="1" x14ac:dyDescent="0.25">
      <c r="A8" s="303"/>
      <c r="B8" s="302"/>
      <c r="C8" s="303"/>
      <c r="D8" s="303"/>
      <c r="E8" s="303"/>
      <c r="F8" s="303"/>
      <c r="G8" s="315"/>
      <c r="H8" s="41"/>
      <c r="I8" s="303"/>
      <c r="J8" s="303"/>
      <c r="K8" s="41"/>
      <c r="L8" s="303"/>
      <c r="M8" s="303"/>
      <c r="N8" s="302"/>
      <c r="O8" s="302"/>
      <c r="P8" s="302"/>
      <c r="Q8" s="302"/>
    </row>
    <row r="9" spans="1:17" ht="16.25" customHeight="1" x14ac:dyDescent="0.2">
      <c r="A9" s="548"/>
      <c r="B9" s="378"/>
      <c r="C9" s="831" t="str">
        <f>IF((DENDRO_N_UpgradeUpdate + DENDRO_N_Software ) = 2,"",LEFT(INDEX(DENDRO_SoftwareFullNames,DENDRO_IndexSoftware),FIND(" ",INDEX(DENDRO_SoftwareFullNames,DENDRO_IndexSoftware),FIND(" ",INDEX(DENDRO_SoftwareFullNames,DENDRO_IndexSoftware))+1)) &amp;
DENDRO_YearMostRecent )</f>
        <v/>
      </c>
      <c r="D9" s="831"/>
      <c r="E9" s="503"/>
      <c r="F9" s="503"/>
      <c r="G9" s="357" t="str">
        <f>IF(DENDRO_OptionXL*(DENDRO_N_Software+DENDRO_N_UpgradeUpdate-2)&gt;=((ROW(G9)-ROW($G$9))/4+1),"XLSTEM "&amp; DENDRO_YearMostRecent,"")</f>
        <v/>
      </c>
      <c r="H9" s="313"/>
      <c r="I9" s="313"/>
      <c r="J9" s="357" t="str">
        <f>IF(DENDRO_N_System-1&gt;=((ROW(G9)-ROW($G$9))/4+1),IF(DENDRO_IndexScanner=1,"STD4800","LA2400") &amp; " System"&amp; IF(AND(DENDRO_ClientWithOrWithoutScanner=2,DENDRO_N_System&gt;1)," Sans Scanner"," Avec Scanner"),
IF(AND(DENDRO_N_Software&gt;DENDRO_N_System,DENDRO_N_Software-1&gt;((ROW(G9)-ROW($G$9))/4+1)),IF(N_SystemTotal=0,"Software Only",IF(N_STDScanners+N_LAScanners+N_LCScanners=0,"Software Sans Scanner","Software Avec Scanner")),
IF(DENDRO_N_UpgradeUpdate-1&gt;=((ROW(G9)-ROW($G$9))/4+1)-(MAX(DENDRO_N_System,DENDRO_N_Software)-1),"Update","")))</f>
        <v/>
      </c>
      <c r="K9" s="313"/>
      <c r="L9" s="306"/>
      <c r="M9" s="306"/>
      <c r="N9" s="306"/>
      <c r="O9" s="506"/>
      <c r="P9" s="302"/>
      <c r="Q9" s="302"/>
    </row>
    <row r="10" spans="1:17" s="3" customFormat="1" ht="24" customHeight="1" x14ac:dyDescent="0.2">
      <c r="A10" s="560" t="s">
        <v>268</v>
      </c>
      <c r="B10" s="375" t="s">
        <v>268</v>
      </c>
      <c r="C10" s="507" t="str">
        <f>"☐☐ Win" &amp;
IF(INT((ROW(D10)-10)/30)+1=1,"DEN","")&amp;
IF(INT((ROW(D10)-10)/30)+1=2,"CEL","")&amp;
IF(INT((ROW(D10)-10)/30)+1=3,"RHI","")&amp;
IF(INT((ROW(D10)-10)/30)+1=4,"RT","")&amp;
IF(INT((ROW(D10)-10)/30)+1=5,"FOL","")&amp;
IF(INT((ROW(D10)-10)/30)+1=6,"SEE","")&amp;
IF(INT((ROW(D10)-10)/30)+1=7,"CAM","")&amp;
IF(INT((ROW(D10)-10)/30)+1=8,"SCA","") &amp; ".exe"</f>
        <v>☐☐ WinDEN.exe</v>
      </c>
      <c r="D10" s="507" t="str">
        <f xml:space="preserve"> IF(N("If it is Cam, Do not Show XL")+AND(ROW(D10)&gt;=189,ROW(D10)&lt;=218),"","☐ XL" &amp;
IF(INT((ROW(D10)-10)/30)+1=1,"STEM","")&amp;
IF(INT((ROW(D10)-10)/30)+1=2,"Cell","")&amp;
IF(INT((ROW(D10)-10)/30)+1=3,"Rhizo","")&amp;
IF(INT((ROW(D10)-10)/30)+1=4,"RhizoT","")&amp;
IF(INT((ROW(D10)-10)/30)+1=5,"Folia","")&amp;
IF(INT((ROW(D10)-10)/30)+1=6,"Seedle","")&amp;
IF(INT((ROW(D10)-10)/30)+1=7,"Cam","")&amp;
IF(INT((ROW(D10)-10)/30)+1=8,"Scanopy","") &amp; ".xls")</f>
        <v>☐ XLSTEM.xls</v>
      </c>
      <c r="E10" s="507" t="s">
        <v>309</v>
      </c>
      <c r="F10" s="507" t="s">
        <v>159</v>
      </c>
      <c r="G10" s="507" t="str">
        <f xml:space="preserve"> IF(N("If it is Cam, Do not Show XL")+AND(ROW(G10)&gt;=189,ROW(G10)&lt;=218),"","☐ XL Man")</f>
        <v>☐ XL Man</v>
      </c>
      <c r="H10" s="508" t="s">
        <v>290</v>
      </c>
      <c r="I10" s="395" t="s">
        <v>284</v>
      </c>
      <c r="J10" s="508" t="str">
        <f>IF(N("Si OR dessous = vrai, pas de box")+OR(
N("1 OR Tron ou CELL")+OR(AND(ROW(E10)&gt;=39,ROW(E10)&lt;=68),AND(ROW(E10)&gt;=99,ROW(E10)&lt;=128)),
N("2 Pas de système scanopy and range opy")+AND(ROW(E10)&gt;=219,ROW(E10)&lt;=248,SCANOPY_N_System&lt;2),
N("3 Avec LC")&amp;IF(ISERROR(LEFT(D9,SEARCH("00",D9)-3)),"",LEFT(D9,SEARCH("00",D9)-3))="LC"),"","☐ ")
&amp;
IF(N("If it's OPY, put OMount Manual instead")+
AND(ROW(D10)&gt;=219,ROW(D10)&lt;=248),
IF(SCANOPY_N_System&gt;1,
IF(SCANOPY_IndexScanner=1,"α" &amp; SCANOPY_CameraModel,SCANOPY_CameraModel_Mini) &amp; " Man",""),
IF(N("If it is Cell or Tron, Do not Show Scanner related items+No Video if LC")+OR(
AND(ROW(E10)&gt;=39,ROW(E10)&lt;=68),
AND(ROW(E10)&gt;=99,ROW(E10)&lt;=128)),
    "", IF(1=N("Si système a un scanner différent du Scanner populaire alors différent, sinon Scanner populaire")+AND(NOT(ISERROR(SEARCH("System",D9))),LEFT(D9,2)&lt;&gt;LEFT(PROD_MostPopularScanner,2)),
LEFT(D9,SEARCH("00",D9)-3),
PROD_MostPopularScanner) &amp; " Install Man"))</f>
        <v>☐ Scan. Install Man</v>
      </c>
      <c r="K10" s="507" t="str">
        <f>IF(N("If it is Cell or Tron or OPY, Do not Show Twain")+OR(AND(ROW(K10)&gt;=39,ROW(K10)&lt;=68),AND(ROW(K10)&gt;=99,ROW(K10)&lt;=128),AND(ROW(J10)&gt;=219,ROW(J10)&lt;=248)),"","☐ TWAIN")</f>
        <v>☐ TWAIN</v>
      </c>
      <c r="L10" s="508" t="str">
        <f>IF(N("Si OR dessous = vrai, pas de box")+OR(
N("1 OR Dendro+CELL, Tron+Folia,Cam")+OR(
AND(ROW(K10)&gt;=9,ROW(K10)&lt;=68),
AND(ROW(K10)&gt;=99,ROW(K10)&lt;=158),
AND(ROW(K10)&gt;=189,ROW(K10)&lt;=218)),
N("2 Pas de système scanopy and range opy")+AND(ROW(K10)&gt;=219,ROW(K10)&lt;=248,SCANOPY_N_System&lt;2),
N("3 Avec LC")&amp;IF(ISERROR(LEFT(J9,SEARCH("00",J9)-3)),"",LEFT(J9,SEARCH("00",J9)-3))="LC"),"","☐ ")
&amp;
IF(N("If it's OPY, put OMount Manual instead")+
AND(ROW(J10)&gt;=219,ROW(J10)&lt;=248),
IF(SCANOPY_N_System&gt;1,"OMount Man",""),
IF(N("If it is Dendro+CELL, Tron+Folia or Cam, Do not Show Scanner related items+No Video if LC")+OR(
AND(ROW(K10)&gt;=9,ROW(K10)&lt;=68),
AND(ROW(K10)&gt;=99,ROW(K10)&lt;=158),
AND(ROW(K10)&gt;=189,ROW(K10)&lt;=218),
IF(ISERROR(LEFT(J9,SEARCH("00",J9)-3)),"",LEFT(J9,SEARCH("00",J9)-3))="LC"),
    "", "Video " &amp; IF(1=N("Si système a un scanner différent du Scanner populaire alors différent, sinon Scanner populaire")+AND(NOT(ISERROR(SEARCH("System",J9))),LEFT(J9,2)&lt;&gt;LEFT(PROD_MostPopularScanner,2)),
LEFT(J9,SEARCH("00",J9)-3),
PROD_MostPopularScanner) &amp; " Install"))</f>
        <v/>
      </c>
      <c r="M10" s="507" t="str">
        <f>IF(N("If it is Dendro or Tron, Do not Show Color Analysis Video")+
OR(AND(ROW(L10)&gt;=9,ROW(L10)&lt;=38),
AND(ROW(L10)&gt;=99,ROW(L10)&lt;=128)), "","☐ Video ClrAna")</f>
        <v/>
      </c>
      <c r="N10" s="508" t="str">
        <f>IF(OR(INT((ROW(D10)-10)/30)+1=2,INT((ROW(D10)-10)/30)+1=4),"","☐ ")&amp;
IF(INT((ROW(D10)-10)/30)+1=1,"Scanner.cal","")&amp;
IF(INT((ROW(D10)-10)/30)+1=2,"","")&amp;
IF(INT((ROW(D10)-10)/30)+1=3,"Scanner.cal","")&amp;
IF(INT((ROW(D10)-10)/30)+1=4,"","")&amp;
IF(INT((ROW(D10)-10)/30)+1=5,"Scanner.cal","")&amp;
IF(INT((ROW(D10)-10)/30)+1=6,"Scanner.cal","")&amp;
IF(INT((ROW(D10)-10)/30)+1=7,"Scanner.cal","")&amp;
IF(INT((ROW(D10)-10)/30)+1=8,IF(SCANOPY_Camera, "Indiv", "Gen")&amp; " Lens.cal","")</f>
        <v>☐ Scanner.cal</v>
      </c>
      <c r="O10" s="395" t="str">
        <f>IF(AND(ROW(L10)&gt;=9,ROW(L10)&lt;=38),"☐ RegentTarget.blu","")</f>
        <v>☐ RegentTarget.blu</v>
      </c>
      <c r="P10" s="302"/>
      <c r="Q10" s="302"/>
    </row>
    <row r="11" spans="1:17" s="3" customFormat="1" ht="24" customHeight="1" x14ac:dyDescent="0.2">
      <c r="A11" s="560" t="s">
        <v>269</v>
      </c>
      <c r="B11" s="311" t="s">
        <v>269</v>
      </c>
      <c r="C11" s="395" t="s">
        <v>159</v>
      </c>
      <c r="D11" s="395" t="str">
        <f xml:space="preserve"> IF(N("If it is Cam, Do not Show XL")+AND(ROW(D11)&gt;=189,ROW(D11)&lt;=218),"","☐ XL Man")</f>
        <v>☐ XL Man</v>
      </c>
      <c r="E11" s="570" t="str">
        <f>IF(N("Si OR dessous = vrai, pas de box")+OR(
N("1 OR Tron ou CELL")+OR(AND(ROW(K10)&gt;=39,ROW(K10)&lt;=68),AND(ROW(K10)&gt;=99,ROW(K10)&lt;=128)),
N("2 Pas de système scanopy and range opy")+AND(ROW(K10)&gt;=219,ROW(K10)&lt;=248,SCANOPY_N_System&lt;2),
N("3 Avec LC")&amp;IF(ISERROR(LEFT(J9,SEARCH("00",J9)-3)),"",LEFT(J9,SEARCH("00",J9)-3))="LC"),"","☐ ")
&amp;
IF(N("If it's OPY, put OMount Manual instead")+
AND(ROW(J10)&gt;=219,ROW(J10)&lt;=248),
IF(SCANOPY_N_System&gt;1,"OMount Man",""),
IF(N("If it is Cell or Tron, Do not Show Scanner related items")+OR(
AND(ROW(K10)&gt;=39,ROW(K10)&lt;=68),
AND(ROW(K10)&gt;=99,ROW(K10)&lt;=128)),
    "", IF(1=N("Si système a un scanner différent du Scanner populaire alors différent, sinon Scanner populaire")+AND(NOT(ISERROR(SEARCH("System",J9))),LEFT(J9,2)&lt;&gt;LEFT(PROD_MostPopularScanner,2)),
LEFT(J9,SEARCH("00",J9)-3),
PROD_MostPopularScanner) &amp; " Install Man"))</f>
        <v>☐ Scan. Install Man</v>
      </c>
      <c r="F11" s="395" t="s">
        <v>285</v>
      </c>
      <c r="G11" s="395" t="s">
        <v>284</v>
      </c>
      <c r="H11" s="572" t="s">
        <v>260</v>
      </c>
      <c r="I11" s="510"/>
      <c r="J11" s="395" t="s">
        <v>160</v>
      </c>
      <c r="K11" s="353"/>
      <c r="L11" s="572" t="s">
        <v>734</v>
      </c>
      <c r="M11" s="395"/>
      <c r="N11" s="395"/>
      <c r="O11" s="395"/>
      <c r="P11" s="302"/>
      <c r="Q11" s="302"/>
    </row>
    <row r="12" spans="1:17" ht="16.25" customHeight="1" x14ac:dyDescent="0.2">
      <c r="A12" s="548"/>
      <c r="B12" s="378"/>
      <c r="C12" s="831" t="str">
        <f>IF((DENDRO_N_UpgradeUpdate + DENDRO_N_Software ) = 2,"",LEFT(INDEX(DENDRO_SoftwareFullNames,DENDRO_IndexSoftware),FIND(" ",INDEX(DENDRO_SoftwareFullNames,DENDRO_IndexSoftware),FIND(" ",INDEX(DENDRO_SoftwareFullNames,DENDRO_IndexSoftware))+1)) &amp;
DENDRO_YearMostRecent )</f>
        <v/>
      </c>
      <c r="D12" s="831"/>
      <c r="E12" s="503"/>
      <c r="F12" s="378"/>
      <c r="G12" s="357" t="str">
        <f>IF(DENDRO_OptionXL*(DENDRO_N_Software+DENDRO_N_UpgradeUpdate-2)&gt;=((ROW(G12)-ROW($G$9))/4+1),"XLSTEM "&amp; DENDRO_YearMostRecent,"")</f>
        <v/>
      </c>
      <c r="H12" s="306"/>
      <c r="I12" s="306"/>
      <c r="J12" s="357" t="str">
        <f>IF(DENDRO_N_System-1&gt;=((ROW(G12)-ROW($G$9))/4+1),IF(DENDRO_IndexScanner=1,"STD4800","LA2400") &amp; " System"&amp; IF(AND(DENDRO_ClientWithOrWithoutScanner=2,DENDRO_N_System&gt;1)," Sans Scanner"," Avec Scanner"),
IF(AND(DENDRO_N_Software&gt;DENDRO_N_System,DENDRO_N_Software-1&gt;((ROW(G12)-ROW($G$9))/4+1)),IF(N_SystemTotal=0,"Software Only",IF(N_STDScanners+N_LAScanners+N_LCScanners=0,"Software Sans Scanner","Software Avec Scanner")),
IF(DENDRO_N_UpgradeUpdate-1&gt;=((ROW(G12)-ROW($G$9))/4+1)-(MAX(DENDRO_N_System,DENDRO_N_Software)-1),"Update","")))</f>
        <v/>
      </c>
      <c r="K12" s="313"/>
      <c r="L12" s="306"/>
      <c r="M12" s="307"/>
      <c r="N12" s="306"/>
      <c r="O12" s="506"/>
      <c r="P12" s="302"/>
      <c r="Q12" s="302"/>
    </row>
    <row r="13" spans="1:17" ht="24" customHeight="1" x14ac:dyDescent="0.2">
      <c r="A13" s="560" t="s">
        <v>268</v>
      </c>
      <c r="B13" s="375" t="s">
        <v>268</v>
      </c>
      <c r="C13" s="507" t="str">
        <f>"☐☐ Win" &amp;
IF(INT((ROW(D13)-10)/30)+1=1,"DEN","")&amp;
IF(INT((ROW(D13)-10)/30)+1=2,"CEL","")&amp;
IF(INT((ROW(D13)-10)/30)+1=3,"RHI","")&amp;
IF(INT((ROW(D13)-10)/30)+1=4,"RT","")&amp;
IF(INT((ROW(D13)-10)/30)+1=5,"FOL","")&amp;
IF(INT((ROW(D13)-10)/30)+1=6,"SEE","")&amp;
IF(INT((ROW(D13)-10)/30)+1=7,"CAM","")&amp;
IF(INT((ROW(D13)-10)/30)+1=8,"SCA","") &amp; ".exe"</f>
        <v>☐☐ WinDEN.exe</v>
      </c>
      <c r="D13" s="507" t="str">
        <f xml:space="preserve"> IF(N("If it is Cam, Do not Show XL")+AND(ROW(D13)&gt;=189,ROW(D13)&lt;=218),"","☐ XL" &amp;
IF(INT((ROW(D13)-10)/30)+1=1,"STEM","")&amp;
IF(INT((ROW(D13)-10)/30)+1=2,"Cell","")&amp;
IF(INT((ROW(D13)-10)/30)+1=3,"Rhizo","")&amp;
IF(INT((ROW(D13)-10)/30)+1=4,"RhizoT","")&amp;
IF(INT((ROW(D13)-10)/30)+1=5,"Folia","")&amp;
IF(INT((ROW(D13)-10)/30)+1=6,"Seedle","")&amp;
IF(INT((ROW(D13)-10)/30)+1=7,"Cam","")&amp;
IF(INT((ROW(D13)-10)/30)+1=8,"Scanopy","") &amp; ".xls")</f>
        <v>☐ XLSTEM.xls</v>
      </c>
      <c r="E13" s="507" t="s">
        <v>309</v>
      </c>
      <c r="F13" s="508" t="s">
        <v>159</v>
      </c>
      <c r="G13" s="507" t="str">
        <f xml:space="preserve"> IF(N("If it is Cam, Do not Show XL")+AND(ROW(G13)&gt;=189,ROW(G13)&lt;=218),"","☐ XL Man")</f>
        <v>☐ XL Man</v>
      </c>
      <c r="H13" s="508" t="s">
        <v>290</v>
      </c>
      <c r="I13" s="395" t="s">
        <v>284</v>
      </c>
      <c r="J13" s="508" t="str">
        <f>IF(N("Si OR dessous = vrai, pas de box")+OR(
N("1 OR Tron ou CELL")+OR(AND(ROW(E13)&gt;=39,ROW(E13)&lt;=68),AND(ROW(E13)&gt;=99,ROW(E13)&lt;=128)),
N("2 Pas de système scanopy and range opy")+AND(ROW(E13)&gt;=219,ROW(E13)&lt;=248,SCANOPY_N_System&lt;2),
N("3 Avec LC")&amp;IF(ISERROR(LEFT(D12,SEARCH("00",D12)-3)),"",LEFT(D12,SEARCH("00",D12)-3))="LC"),"","☐ ")
&amp;
IF(N("If it's OPY, put OMount Manual instead")+
AND(ROW(D13)&gt;=219,ROW(D13)&lt;=248),
IF(SCANOPY_N_System&gt;1,
IF(SCANOPY_IndexScanner=1,"α" &amp; SCANOPY_CameraModel,SCANOPY_CameraModel_Mini) &amp; " Man",""),
IF(N("If it is Cell or Tron, Do not Show Scanner related items+No Video if LC")+OR(
AND(ROW(E13)&gt;=39,ROW(E13)&lt;=68),
AND(ROW(E13)&gt;=99,ROW(E13)&lt;=128)),
    "", IF(1=N("Si système a un scanner différent du Scanner populaire alors différent, sinon Scanner populaire")+AND(NOT(ISERROR(SEARCH("System",D12))),LEFT(D12,2)&lt;&gt;LEFT(PROD_MostPopularScanner,2)),
LEFT(D12,SEARCH("00",D12)-3),
PROD_MostPopularScanner) &amp; " Install Man"))</f>
        <v>☐ Scan. Install Man</v>
      </c>
      <c r="K13" s="507" t="str">
        <f>IF(N("If it is Cell or Tron or OPY, Do not Show Twain")+OR(AND(ROW(K13)&gt;=39,ROW(K13)&lt;=68),AND(ROW(K13)&gt;=99,ROW(K13)&lt;=128),AND(ROW(J13)&gt;=219,ROW(J13)&lt;=248)),"","☐ TWAIN")</f>
        <v>☐ TWAIN</v>
      </c>
      <c r="L13" s="508" t="str">
        <f>IF(N("Si OR dessous = vrai, pas de box")+OR(
N("1 OR Dendro+CELL, Tron+Folia,Cam")+OR(
AND(ROW(K13)&gt;=9,ROW(K13)&lt;=68),
AND(ROW(K13)&gt;=99,ROW(K13)&lt;=158),
AND(ROW(K13)&gt;=189,ROW(K13)&lt;=218)),
N("2 Pas de système scanopy and range opy")+AND(ROW(K13)&gt;=219,ROW(K13)&lt;=248,SCANOPY_N_System&lt;2),
N("3 Avec LC")&amp;IF(ISERROR(LEFT(J12,SEARCH("00",J12)-3)),"",LEFT(J12,SEARCH("00",J12)-3))="LC"),"","☐ ")
&amp;
IF(N("If it's OPY, put OMount Manual instead")+
AND(ROW(J13)&gt;=219,ROW(J13)&lt;=248),
IF(SCANOPY_N_System&gt;1,"OMount Man",""),
IF(N("If it is Dendro+CELL, Tron+Folia or Cam, Do not Show Scanner related items+No Video if LC")+OR(
AND(ROW(K13)&gt;=9,ROW(K13)&lt;=68),
AND(ROW(K13)&gt;=99,ROW(K13)&lt;=158),
AND(ROW(K13)&gt;=189,ROW(K13)&lt;=218),
IF(ISERROR(LEFT(J12,SEARCH("00",J12)-3)),"",LEFT(J12,SEARCH("00",J12)-3))="LC"),
    "", "Video " &amp; IF(1=N("Si système a un scanner différent du Scanner populaire alors différent, sinon Scanner populaire")+AND(NOT(ISERROR(SEARCH("System",J12))),LEFT(J12,2)&lt;&gt;LEFT(PROD_MostPopularScanner,2)),
LEFT(J12,SEARCH("00",J12)-3),
PROD_MostPopularScanner) &amp; " Install"))</f>
        <v/>
      </c>
      <c r="M13" s="507" t="str">
        <f>IF(N("If it is Dendro or Tron, Do not Show Color Analysis Video")+
OR(AND(ROW(L13)&gt;=9,ROW(L13)&lt;=38),
AND(ROW(L13)&gt;=99,ROW(L13)&lt;=128)), "","☐ Video ClrAna")</f>
        <v/>
      </c>
      <c r="N13" s="508" t="str">
        <f>IF(OR(INT((ROW(D13)-10)/30)+1=2,INT((ROW(D13)-10)/30)+1=4),"","☐ ")&amp;
IF(INT((ROW(D13)-10)/30)+1=1,"Scanner.cal","")&amp;
IF(INT((ROW(D13)-10)/30)+1=2,"","")&amp;
IF(INT((ROW(D13)-10)/30)+1=3,"Scanner.cal","")&amp;
IF(INT((ROW(D13)-10)/30)+1=4,"","")&amp;
IF(INT((ROW(D13)-10)/30)+1=5,"Scanner.cal","")&amp;
IF(INT((ROW(D13)-10)/30)+1=6,"Scanner.cal","")&amp;
IF(INT((ROW(D13)-10)/30)+1=7,"Scanner.cal","")&amp;
IF(INT((ROW(D13)-10)/30)+1=8,IF(SCANOPY_Camera, "Indiv", "Gen")&amp; " Lens.cal","")</f>
        <v>☐ Scanner.cal</v>
      </c>
      <c r="O13" s="395" t="str">
        <f>IF(AND(ROW(L13)&gt;=9,ROW(L13)&lt;=38),"☐ RegentTarget.blu","")</f>
        <v>☐ RegentTarget.blu</v>
      </c>
      <c r="P13" s="302"/>
      <c r="Q13" s="302"/>
    </row>
    <row r="14" spans="1:17" ht="24" customHeight="1" x14ac:dyDescent="0.2">
      <c r="A14" s="560" t="s">
        <v>269</v>
      </c>
      <c r="B14" s="311" t="s">
        <v>269</v>
      </c>
      <c r="C14" s="395" t="s">
        <v>159</v>
      </c>
      <c r="D14" s="395" t="str">
        <f xml:space="preserve"> IF(N("If it is Cam, Do not Show XL")+AND(ROW(D14)&gt;=189,ROW(D14)&lt;=218),"","☐ XL Man")</f>
        <v>☐ XL Man</v>
      </c>
      <c r="E14" s="570" t="str">
        <f>IF(N("Si OR dessous = vrai, pas de box")+OR(
N("1 OR Tron ou CELL")+OR(AND(ROW(K13)&gt;=39,ROW(K13)&lt;=68),AND(ROW(K13)&gt;=99,ROW(K13)&lt;=128)),
N("2 Pas de système scanopy and range opy")+AND(ROW(K13)&gt;=219,ROW(K13)&lt;=248,SCANOPY_N_System&lt;2),
N("3 Avec LC")&amp;IF(ISERROR(LEFT(J12,SEARCH("00",J12)-3)),"",LEFT(J12,SEARCH("00",J12)-3))="LC"),"","☐ ")
&amp;
IF(N("If it's OPY, put OMount Manual instead")+
AND(ROW(J13)&gt;=219,ROW(J13)&lt;=248),
IF(SCANOPY_N_System&gt;1,"OMount Man",""),
IF(N("If it is Cell or Tron, Do not Show Scanner related items")+OR(
AND(ROW(K13)&gt;=39,ROW(K13)&lt;=68),
AND(ROW(K13)&gt;=99,ROW(K13)&lt;=128)),
    "", IF(1=N("Si système a un scanner différent du Scanner populaire alors différent, sinon Scanner populaire")+AND(NOT(ISERROR(SEARCH("System",J12))),LEFT(J12,2)&lt;&gt;LEFT(PROD_MostPopularScanner,2)),
LEFT(J12,SEARCH("00",J12)-3),
PROD_MostPopularScanner) &amp; " Install Man"))</f>
        <v>☐ Scan. Install Man</v>
      </c>
      <c r="F14" s="509" t="s">
        <v>285</v>
      </c>
      <c r="G14" s="395" t="s">
        <v>284</v>
      </c>
      <c r="H14" s="572" t="s">
        <v>260</v>
      </c>
      <c r="I14" s="510"/>
      <c r="J14" s="395" t="s">
        <v>160</v>
      </c>
      <c r="K14" s="353"/>
      <c r="L14" s="572" t="s">
        <v>734</v>
      </c>
      <c r="M14" s="395"/>
      <c r="N14" s="509"/>
      <c r="O14" s="395"/>
      <c r="P14" s="302"/>
      <c r="Q14" s="302"/>
    </row>
    <row r="15" spans="1:17" ht="16.25" customHeight="1" x14ac:dyDescent="0.2">
      <c r="A15" s="548"/>
      <c r="B15" s="378"/>
      <c r="C15" s="831" t="str">
        <f>IF((DENDRO_N_UpgradeUpdate + DENDRO_N_Software ) = 2,"",LEFT(INDEX(DENDRO_SoftwareFullNames,DENDRO_IndexSoftware),FIND(" ",INDEX(DENDRO_SoftwareFullNames,DENDRO_IndexSoftware),FIND(" ",INDEX(DENDRO_SoftwareFullNames,DENDRO_IndexSoftware))+1)) &amp;
DENDRO_YearMostRecent )</f>
        <v/>
      </c>
      <c r="D15" s="831"/>
      <c r="E15" s="503"/>
      <c r="F15" s="386"/>
      <c r="G15" s="357" t="str">
        <f>IF(DENDRO_OptionXL*(DENDRO_N_Software+DENDRO_N_UpgradeUpdate-2)&gt;=((ROW(G15)-ROW($G$9))/4+1),"XLSTEM "&amp; DENDRO_YearMostRecent,"")</f>
        <v/>
      </c>
      <c r="H15" s="313"/>
      <c r="I15" s="313"/>
      <c r="J15" s="357" t="str">
        <f>IF(DENDRO_N_System-1&gt;=((ROW(G15)-ROW($G$9))/4+1),IF(DENDRO_IndexScanner=1,"STD4800","LA2400") &amp; " System"&amp; IF(AND(DENDRO_ClientWithOrWithoutScanner=2,DENDRO_N_System&gt;1)," Sans Scanner"," Avec Scanner"),
IF(AND(DENDRO_N_Software&gt;DENDRO_N_System,DENDRO_N_Software-1&gt;((ROW(G15)-ROW($G$9))/4+1)),IF(N_SystemTotal=0,"Software Only",IF(N_STDScanners+N_LAScanners+N_LCScanners=0,"Software Sans Scanner","Software Avec Scanner")),
IF(DENDRO_N_UpgradeUpdate-1&gt;=((ROW(G15)-ROW($G$9))/4+1)-(MAX(DENDRO_N_System,DENDRO_N_Software)-1),"Update","")))</f>
        <v/>
      </c>
      <c r="K15" s="313"/>
      <c r="L15" s="306"/>
      <c r="M15" s="307"/>
      <c r="N15" s="306"/>
      <c r="O15" s="506"/>
      <c r="P15" s="302"/>
      <c r="Q15" s="302"/>
    </row>
    <row r="16" spans="1:17" ht="24" customHeight="1" x14ac:dyDescent="0.2">
      <c r="A16" s="560" t="s">
        <v>268</v>
      </c>
      <c r="B16" s="375" t="s">
        <v>268</v>
      </c>
      <c r="C16" s="507" t="str">
        <f>"☐☐ Win" &amp;
IF(INT((ROW(D16)-10)/30)+1=1,"DEN","")&amp;
IF(INT((ROW(D16)-10)/30)+1=2,"CEL","")&amp;
IF(INT((ROW(D16)-10)/30)+1=3,"RHI","")&amp;
IF(INT((ROW(D16)-10)/30)+1=4,"RT","")&amp;
IF(INT((ROW(D16)-10)/30)+1=5,"FOL","")&amp;
IF(INT((ROW(D16)-10)/30)+1=6,"SEE","")&amp;
IF(INT((ROW(D16)-10)/30)+1=7,"CAM","")&amp;
IF(INT((ROW(D16)-10)/30)+1=8,"SCA","") &amp; ".exe"</f>
        <v>☐☐ WinDEN.exe</v>
      </c>
      <c r="D16" s="507" t="str">
        <f xml:space="preserve"> IF(N("If it is Cam, Do not Show XL")+AND(ROW(D16)&gt;=189,ROW(D16)&lt;=218),"","☐ XL" &amp;
IF(INT((ROW(D16)-10)/30)+1=1,"STEM","")&amp;
IF(INT((ROW(D16)-10)/30)+1=2,"Cell","")&amp;
IF(INT((ROW(D16)-10)/30)+1=3,"Rhizo","")&amp;
IF(INT((ROW(D16)-10)/30)+1=4,"RhizoT","")&amp;
IF(INT((ROW(D16)-10)/30)+1=5,"Folia","")&amp;
IF(INT((ROW(D16)-10)/30)+1=6,"Seedle","")&amp;
IF(INT((ROW(D16)-10)/30)+1=7,"Cam","")&amp;
IF(INT((ROW(D16)-10)/30)+1=8,"Scanopy","") &amp; ".xls")</f>
        <v>☐ XLSTEM.xls</v>
      </c>
      <c r="E16" s="507" t="s">
        <v>309</v>
      </c>
      <c r="F16" s="508" t="s">
        <v>159</v>
      </c>
      <c r="G16" s="507" t="str">
        <f xml:space="preserve"> IF(N("If it is Cam, Do not Show XL")+AND(ROW(G16)&gt;=189,ROW(G16)&lt;=218),"","☐ XL Man")</f>
        <v>☐ XL Man</v>
      </c>
      <c r="H16" s="508" t="s">
        <v>290</v>
      </c>
      <c r="I16" s="395" t="s">
        <v>284</v>
      </c>
      <c r="J16" s="508" t="str">
        <f>IF(N("Si OR dessous = vrai, pas de box")+OR(
N("1 OR Tron ou CELL")+OR(AND(ROW(E16)&gt;=39,ROW(E16)&lt;=68),AND(ROW(E16)&gt;=99,ROW(E16)&lt;=128)),
N("2 Pas de système scanopy and range opy")+AND(ROW(E16)&gt;=219,ROW(E16)&lt;=248,SCANOPY_N_System&lt;2),
N("3 Avec LC")&amp;IF(ISERROR(LEFT(D15,SEARCH("00",D15)-3)),"",LEFT(D15,SEARCH("00",D15)-3))="LC"),"","☐ ")
&amp;
IF(N("If it's OPY, put OMount Manual instead")+
AND(ROW(D16)&gt;=219,ROW(D16)&lt;=248),
IF(SCANOPY_N_System&gt;1,
IF(SCANOPY_IndexScanner=1,"α" &amp; SCANOPY_CameraModel,SCANOPY_CameraModel_Mini) &amp; " Man",""),
IF(N("If it is Cell or Tron, Do not Show Scanner related items+No Video if LC")+OR(
AND(ROW(E16)&gt;=39,ROW(E16)&lt;=68),
AND(ROW(E16)&gt;=99,ROW(E16)&lt;=128)),
    "", IF(1=N("Si système a un scanner différent du Scanner populaire alors différent, sinon Scanner populaire")+AND(NOT(ISERROR(SEARCH("System",D15))),LEFT(D15,2)&lt;&gt;LEFT(PROD_MostPopularScanner,2)),
LEFT(D15,SEARCH("00",D15)-3),
PROD_MostPopularScanner) &amp; " Install Man"))</f>
        <v>☐ Scan. Install Man</v>
      </c>
      <c r="K16" s="507" t="str">
        <f>IF(N("If it is Cell or Tron or OPY, Do not Show Twain")+OR(AND(ROW(K16)&gt;=39,ROW(K16)&lt;=68),AND(ROW(K16)&gt;=99,ROW(K16)&lt;=128),AND(ROW(J16)&gt;=219,ROW(J16)&lt;=248)),"","☐ TWAIN")</f>
        <v>☐ TWAIN</v>
      </c>
      <c r="L16" s="508" t="str">
        <f>IF(N("Si OR dessous = vrai, pas de box")+OR(
N("1 OR Dendro+CELL, Tron+Folia,Cam")+OR(
AND(ROW(K16)&gt;=9,ROW(K16)&lt;=68),
AND(ROW(K16)&gt;=99,ROW(K16)&lt;=158),
AND(ROW(K16)&gt;=189,ROW(K16)&lt;=218)),
N("2 Pas de système scanopy and range opy")+AND(ROW(K16)&gt;=219,ROW(K16)&lt;=248,SCANOPY_N_System&lt;2),
N("3 Avec LC")&amp;IF(ISERROR(LEFT(J15,SEARCH("00",J15)-3)),"",LEFT(J15,SEARCH("00",J15)-3))="LC"),"","☐ ")
&amp;
IF(N("If it's OPY, put OMount Manual instead")+
AND(ROW(J16)&gt;=219,ROW(J16)&lt;=248),
IF(SCANOPY_N_System&gt;1,"OMount Man",""),
IF(N("If it is Dendro+CELL, Tron+Folia or Cam, Do not Show Scanner related items+No Video if LC")+OR(
AND(ROW(K16)&gt;=9,ROW(K16)&lt;=68),
AND(ROW(K16)&gt;=99,ROW(K16)&lt;=158),
AND(ROW(K16)&gt;=189,ROW(K16)&lt;=218),
IF(ISERROR(LEFT(J15,SEARCH("00",J15)-3)),"",LEFT(J15,SEARCH("00",J15)-3))="LC"),
    "", "Video " &amp; IF(1=N("Si système a un scanner différent du Scanner populaire alors différent, sinon Scanner populaire")+AND(NOT(ISERROR(SEARCH("System",J15))),LEFT(J15,2)&lt;&gt;LEFT(PROD_MostPopularScanner,2)),
LEFT(J15,SEARCH("00",J15)-3),
PROD_MostPopularScanner) &amp; " Install"))</f>
        <v/>
      </c>
      <c r="M16" s="507" t="str">
        <f>IF(N("If it is Dendro or Tron, Do not Show Color Analysis Video")+
OR(AND(ROW(L16)&gt;=9,ROW(L16)&lt;=38),
AND(ROW(L16)&gt;=99,ROW(L16)&lt;=128)), "","☐ Video ClrAna")</f>
        <v/>
      </c>
      <c r="N16" s="508" t="str">
        <f>IF(OR(INT((ROW(D16)-10)/30)+1=2,INT((ROW(D16)-10)/30)+1=4),"","☐ ")&amp;
IF(INT((ROW(D16)-10)/30)+1=1,"Scanner.cal","")&amp;
IF(INT((ROW(D16)-10)/30)+1=2,"","")&amp;
IF(INT((ROW(D16)-10)/30)+1=3,"Scanner.cal","")&amp;
IF(INT((ROW(D16)-10)/30)+1=4,"","")&amp;
IF(INT((ROW(D16)-10)/30)+1=5,"Scanner.cal","")&amp;
IF(INT((ROW(D16)-10)/30)+1=6,"Scanner.cal","")&amp;
IF(INT((ROW(D16)-10)/30)+1=7,"Scanner.cal","")&amp;
IF(INT((ROW(D16)-10)/30)+1=8,IF(SCANOPY_Camera, "Indiv", "Gen")&amp; " Lens.cal","")</f>
        <v>☐ Scanner.cal</v>
      </c>
      <c r="O16" s="395" t="str">
        <f>IF(AND(ROW(L16)&gt;=9,ROW(L16)&lt;=38),"☐ RegentTarget.blu","")</f>
        <v>☐ RegentTarget.blu</v>
      </c>
      <c r="P16" s="302"/>
      <c r="Q16" s="302"/>
    </row>
    <row r="17" spans="1:17" ht="24" customHeight="1" x14ac:dyDescent="0.2">
      <c r="A17" s="560" t="s">
        <v>269</v>
      </c>
      <c r="B17" s="311" t="s">
        <v>269</v>
      </c>
      <c r="C17" s="395" t="s">
        <v>159</v>
      </c>
      <c r="D17" s="395" t="str">
        <f xml:space="preserve"> IF(N("If it is Cam, Do not Show XL")+AND(ROW(D17)&gt;=189,ROW(D17)&lt;=218),"","☐ XL Man")</f>
        <v>☐ XL Man</v>
      </c>
      <c r="E17" s="570" t="str">
        <f>IF(N("Si OR dessous = vrai, pas de box")+OR(
N("1 OR Tron ou CELL")+OR(AND(ROW(K16)&gt;=39,ROW(K16)&lt;=68),AND(ROW(K16)&gt;=99,ROW(K16)&lt;=128)),
N("2 Pas de système scanopy and range opy")+AND(ROW(K16)&gt;=219,ROW(K16)&lt;=248,SCANOPY_N_System&lt;2),
N("3 Avec LC")&amp;IF(ISERROR(LEFT(J15,SEARCH("00",J15)-3)),"",LEFT(J15,SEARCH("00",J15)-3))="LC"),"","☐ ")
&amp;
IF(N("If it's OPY, put OMount Manual instead")+
AND(ROW(J16)&gt;=219,ROW(J16)&lt;=248),
IF(SCANOPY_N_System&gt;1,"OMount Man",""),
IF(N("If it is Cell or Tron, Do not Show Scanner related items")+OR(
AND(ROW(K16)&gt;=39,ROW(K16)&lt;=68),
AND(ROW(K16)&gt;=99,ROW(K16)&lt;=128)),
    "", IF(1=N("Si système a un scanner différent du Scanner populaire alors différent, sinon Scanner populaire")+AND(NOT(ISERROR(SEARCH("System",J15))),LEFT(J15,2)&lt;&gt;LEFT(PROD_MostPopularScanner,2)),
LEFT(J15,SEARCH("00",J15)-3),
PROD_MostPopularScanner) &amp; " Install Man"))</f>
        <v>☐ Scan. Install Man</v>
      </c>
      <c r="F17" s="509" t="s">
        <v>285</v>
      </c>
      <c r="G17" s="395" t="s">
        <v>284</v>
      </c>
      <c r="H17" s="572" t="s">
        <v>260</v>
      </c>
      <c r="I17" s="510"/>
      <c r="J17" s="395" t="s">
        <v>160</v>
      </c>
      <c r="K17" s="353"/>
      <c r="L17" s="572" t="s">
        <v>734</v>
      </c>
      <c r="M17" s="395"/>
      <c r="N17" s="509"/>
      <c r="O17" s="395"/>
      <c r="P17" s="302"/>
      <c r="Q17" s="302"/>
    </row>
    <row r="18" spans="1:17" ht="16.25" customHeight="1" x14ac:dyDescent="0.2">
      <c r="A18" s="548"/>
      <c r="B18" s="378"/>
      <c r="C18" s="831" t="str">
        <f>IF((DENDRO_N_UpgradeUpdate + DENDRO_N_Software ) = 2,"",LEFT(INDEX(DENDRO_SoftwareFullNames,DENDRO_IndexSoftware),FIND(" ",INDEX(DENDRO_SoftwareFullNames,DENDRO_IndexSoftware),FIND(" ",INDEX(DENDRO_SoftwareFullNames,DENDRO_IndexSoftware))+1)) &amp;
DENDRO_YearMostRecent )</f>
        <v/>
      </c>
      <c r="D18" s="831"/>
      <c r="E18" s="503"/>
      <c r="F18" s="386"/>
      <c r="G18" s="357" t="str">
        <f>IF(DENDRO_OptionXL*(DENDRO_N_Software+DENDRO_N_UpgradeUpdate-2)&gt;=((ROW(G18)-ROW($G$9))/4+1),"XLSTEM "&amp; DENDRO_YearMostRecent,"")</f>
        <v/>
      </c>
      <c r="H18" s="313"/>
      <c r="I18" s="313"/>
      <c r="J18" s="357" t="str">
        <f>IF(DENDRO_N_System-1&gt;=((ROW(G18)-ROW($G$9))/4+1),IF(DENDRO_IndexScanner=1,"STD4800","LA2400") &amp; " System"&amp; IF(AND(DENDRO_ClientWithOrWithoutScanner=2,DENDRO_N_System&gt;1)," Sans Scanner"," Avec Scanner"),
IF(AND(DENDRO_N_Software&gt;DENDRO_N_System,DENDRO_N_Software-1&gt;((ROW(G18)-ROW($G$9))/4+1)),IF(N_SystemTotal=0,"Software Only",IF(N_STDScanners+N_LAScanners+N_LCScanners=0,"Software Sans Scanner","Software Avec Scanner")),
IF(DENDRO_N_UpgradeUpdate-1&gt;=((ROW(G18)-ROW($G$9))/4+1)-(MAX(DENDRO_N_System,DENDRO_N_Software)-1),"Update","")))</f>
        <v/>
      </c>
      <c r="K18" s="313"/>
      <c r="L18" s="306"/>
      <c r="M18" s="307"/>
      <c r="N18" s="306"/>
      <c r="O18" s="506"/>
      <c r="P18" s="302"/>
      <c r="Q18" s="302"/>
    </row>
    <row r="19" spans="1:17" ht="24" customHeight="1" x14ac:dyDescent="0.2">
      <c r="A19" s="560" t="s">
        <v>268</v>
      </c>
      <c r="B19" s="375" t="s">
        <v>268</v>
      </c>
      <c r="C19" s="507" t="str">
        <f>"☐☐ Win" &amp;
IF(INT((ROW(D19)-10)/30)+1=1,"DEN","")&amp;
IF(INT((ROW(D19)-10)/30)+1=2,"CEL","")&amp;
IF(INT((ROW(D19)-10)/30)+1=3,"RHI","")&amp;
IF(INT((ROW(D19)-10)/30)+1=4,"RT","")&amp;
IF(INT((ROW(D19)-10)/30)+1=5,"FOL","")&amp;
IF(INT((ROW(D19)-10)/30)+1=6,"SEE","")&amp;
IF(INT((ROW(D19)-10)/30)+1=7,"CAM","")&amp;
IF(INT((ROW(D19)-10)/30)+1=8,"SCA","") &amp; ".exe"</f>
        <v>☐☐ WinDEN.exe</v>
      </c>
      <c r="D19" s="507" t="str">
        <f xml:space="preserve"> IF(N("If it is Cam, Do not Show XL")+AND(ROW(D19)&gt;=189,ROW(D19)&lt;=218),"","☐ XL" &amp;
IF(INT((ROW(D19)-10)/30)+1=1,"STEM","")&amp;
IF(INT((ROW(D19)-10)/30)+1=2,"Cell","")&amp;
IF(INT((ROW(D19)-10)/30)+1=3,"Rhizo","")&amp;
IF(INT((ROW(D19)-10)/30)+1=4,"RhizoT","")&amp;
IF(INT((ROW(D19)-10)/30)+1=5,"Folia","")&amp;
IF(INT((ROW(D19)-10)/30)+1=6,"Seedle","")&amp;
IF(INT((ROW(D19)-10)/30)+1=7,"Cam","")&amp;
IF(INT((ROW(D19)-10)/30)+1=8,"Scanopy","") &amp; ".xls")</f>
        <v>☐ XLSTEM.xls</v>
      </c>
      <c r="E19" s="507" t="s">
        <v>309</v>
      </c>
      <c r="F19" s="508" t="s">
        <v>159</v>
      </c>
      <c r="G19" s="507" t="str">
        <f xml:space="preserve"> IF(N("If it is Cam, Do not Show XL")+AND(ROW(G19)&gt;=189,ROW(G19)&lt;=218),"","☐ XL Man")</f>
        <v>☐ XL Man</v>
      </c>
      <c r="H19" s="508" t="s">
        <v>290</v>
      </c>
      <c r="I19" s="395" t="s">
        <v>284</v>
      </c>
      <c r="J19" s="508" t="str">
        <f>IF(N("Si OR dessous = vrai, pas de box")+OR(
N("1 OR Tron ou CELL")+OR(AND(ROW(E19)&gt;=39,ROW(E19)&lt;=68),AND(ROW(E19)&gt;=99,ROW(E19)&lt;=128)),
N("2 Pas de système scanopy and range opy")+AND(ROW(E19)&gt;=219,ROW(E19)&lt;=248,SCANOPY_N_System&lt;2),
N("3 Avec LC")&amp;IF(ISERROR(LEFT(D18,SEARCH("00",D18)-3)),"",LEFT(D18,SEARCH("00",D18)-3))="LC"),"","☐ ")
&amp;
IF(N("If it's OPY, put OMount Manual instead")+
AND(ROW(D19)&gt;=219,ROW(D19)&lt;=248),
IF(SCANOPY_N_System&gt;1,
IF(SCANOPY_IndexScanner=1,"α" &amp; SCANOPY_CameraModel,SCANOPY_CameraModel_Mini) &amp; " Man",""),
IF(N("If it is Cell or Tron, Do not Show Scanner related items+No Video if LC")+OR(
AND(ROW(E19)&gt;=39,ROW(E19)&lt;=68),
AND(ROW(E19)&gt;=99,ROW(E19)&lt;=128)),
    "", IF(1=N("Si système a un scanner différent du Scanner populaire alors différent, sinon Scanner populaire")+AND(NOT(ISERROR(SEARCH("System",D18))),LEFT(D18,2)&lt;&gt;LEFT(PROD_MostPopularScanner,2)),
LEFT(D18,SEARCH("00",D18)-3),
PROD_MostPopularScanner) &amp; " Install Man"))</f>
        <v>☐ Scan. Install Man</v>
      </c>
      <c r="K19" s="507" t="str">
        <f>IF(N("If it is Cell or Tron or OPY, Do not Show Twain")+OR(AND(ROW(K19)&gt;=39,ROW(K19)&lt;=68),AND(ROW(K19)&gt;=99,ROW(K19)&lt;=128),AND(ROW(J19)&gt;=219,ROW(J19)&lt;=248)),"","☐ TWAIN")</f>
        <v>☐ TWAIN</v>
      </c>
      <c r="L19" s="508" t="str">
        <f>IF(N("Si OR dessous = vrai, pas de box")+OR(
N("1 OR Dendro+CELL, Tron+Folia,Cam")+OR(
AND(ROW(K19)&gt;=9,ROW(K19)&lt;=68),
AND(ROW(K19)&gt;=99,ROW(K19)&lt;=158),
AND(ROW(K19)&gt;=189,ROW(K19)&lt;=218)),
N("2 Pas de système scanopy and range opy")+AND(ROW(K19)&gt;=219,ROW(K19)&lt;=248,SCANOPY_N_System&lt;2),
N("3 Avec LC")&amp;IF(ISERROR(LEFT(J18,SEARCH("00",J18)-3)),"",LEFT(J18,SEARCH("00",J18)-3))="LC"),"","☐ ")
&amp;
IF(N("If it's OPY, put OMount Manual instead")+
AND(ROW(J19)&gt;=219,ROW(J19)&lt;=248),
IF(SCANOPY_N_System&gt;1,"OMount Man",""),
IF(N("If it is Dendro+CELL, Tron+Folia or Cam, Do not Show Scanner related items+No Video if LC")+OR(
AND(ROW(K19)&gt;=9,ROW(K19)&lt;=68),
AND(ROW(K19)&gt;=99,ROW(K19)&lt;=158),
AND(ROW(K19)&gt;=189,ROW(K19)&lt;=218),
IF(ISERROR(LEFT(J18,SEARCH("00",J18)-3)),"",LEFT(J18,SEARCH("00",J18)-3))="LC"),
    "", "Video " &amp; IF(1=N("Si système a un scanner différent du Scanner populaire alors différent, sinon Scanner populaire")+AND(NOT(ISERROR(SEARCH("System",J18))),LEFT(J18,2)&lt;&gt;LEFT(PROD_MostPopularScanner,2)),
LEFT(J18,SEARCH("00",J18)-3),
PROD_MostPopularScanner) &amp; " Install"))</f>
        <v/>
      </c>
      <c r="M19" s="507" t="str">
        <f>IF(N("If it is Dendro or Tron, Do not Show Color Analysis Video")+
OR(AND(ROW(L19)&gt;=9,ROW(L19)&lt;=38),
AND(ROW(L19)&gt;=99,ROW(L19)&lt;=128)), "","☐ Video ClrAna")</f>
        <v/>
      </c>
      <c r="N19" s="508" t="str">
        <f>IF(OR(INT((ROW(D19)-10)/30)+1=2,INT((ROW(D19)-10)/30)+1=4),"","☐ ")&amp;
IF(INT((ROW(D19)-10)/30)+1=1,"Scanner.cal","")&amp;
IF(INT((ROW(D19)-10)/30)+1=2,"","")&amp;
IF(INT((ROW(D19)-10)/30)+1=3,"Scanner.cal","")&amp;
IF(INT((ROW(D19)-10)/30)+1=4,"","")&amp;
IF(INT((ROW(D19)-10)/30)+1=5,"Scanner.cal","")&amp;
IF(INT((ROW(D19)-10)/30)+1=6,"Scanner.cal","")&amp;
IF(INT((ROW(D19)-10)/30)+1=7,"Scanner.cal","")&amp;
IF(INT((ROW(D19)-10)/30)+1=8,IF(SCANOPY_Camera, "Indiv", "Gen")&amp; " Lens.cal","")</f>
        <v>☐ Scanner.cal</v>
      </c>
      <c r="O19" s="395" t="str">
        <f>IF(AND(ROW(L19)&gt;=9,ROW(L19)&lt;=38),"☐ RegentTarget.blu","")</f>
        <v>☐ RegentTarget.blu</v>
      </c>
      <c r="P19" s="302"/>
      <c r="Q19" s="302"/>
    </row>
    <row r="20" spans="1:17" ht="24" customHeight="1" x14ac:dyDescent="0.2">
      <c r="A20" s="560" t="s">
        <v>269</v>
      </c>
      <c r="B20" s="311" t="s">
        <v>269</v>
      </c>
      <c r="C20" s="395" t="s">
        <v>159</v>
      </c>
      <c r="D20" s="395" t="str">
        <f xml:space="preserve"> IF(N("If it is Cam, Do not Show XL")+AND(ROW(D20)&gt;=189,ROW(D20)&lt;=218),"","☐ XL Man")</f>
        <v>☐ XL Man</v>
      </c>
      <c r="E20" s="570" t="str">
        <f>IF(N("Si OR dessous = vrai, pas de box")+OR(
N("1 OR Tron ou CELL")+OR(AND(ROW(K19)&gt;=39,ROW(K19)&lt;=68),AND(ROW(K19)&gt;=99,ROW(K19)&lt;=128)),
N("2 Pas de système scanopy and range opy")+AND(ROW(K19)&gt;=219,ROW(K19)&lt;=248,SCANOPY_N_System&lt;2),
N("3 Avec LC")&amp;IF(ISERROR(LEFT(J18,SEARCH("00",J18)-3)),"",LEFT(J18,SEARCH("00",J18)-3))="LC"),"","☐ ")
&amp;
IF(N("If it's OPY, put OMount Manual instead")+
AND(ROW(J19)&gt;=219,ROW(J19)&lt;=248),
IF(SCANOPY_N_System&gt;1,"OMount Man",""),
IF(N("If it is Cell or Tron, Do not Show Scanner related items")+OR(
AND(ROW(K19)&gt;=39,ROW(K19)&lt;=68),
AND(ROW(K19)&gt;=99,ROW(K19)&lt;=128)),
    "", IF(1=N("Si système a un scanner différent du Scanner populaire alors différent, sinon Scanner populaire")+AND(NOT(ISERROR(SEARCH("System",J18))),LEFT(J18,2)&lt;&gt;LEFT(PROD_MostPopularScanner,2)),
LEFT(J18,SEARCH("00",J18)-3),
PROD_MostPopularScanner) &amp; " Install Man"))</f>
        <v>☐ Scan. Install Man</v>
      </c>
      <c r="F20" s="509" t="s">
        <v>285</v>
      </c>
      <c r="G20" s="395" t="s">
        <v>284</v>
      </c>
      <c r="H20" s="572" t="s">
        <v>260</v>
      </c>
      <c r="I20" s="510"/>
      <c r="J20" s="395" t="s">
        <v>160</v>
      </c>
      <c r="K20" s="353"/>
      <c r="L20" s="572" t="s">
        <v>734</v>
      </c>
      <c r="M20" s="395"/>
      <c r="N20" s="509"/>
      <c r="O20" s="395"/>
      <c r="P20" s="302"/>
      <c r="Q20" s="302"/>
    </row>
    <row r="21" spans="1:17" ht="16.25" customHeight="1" x14ac:dyDescent="0.2">
      <c r="A21" s="548"/>
      <c r="B21" s="378"/>
      <c r="C21" s="831" t="str">
        <f>IF((DENDRO_N_UpgradeUpdate + DENDRO_N_Software ) = 2,"",LEFT(INDEX(DENDRO_SoftwareFullNames,DENDRO_IndexSoftware),FIND(" ",INDEX(DENDRO_SoftwareFullNames,DENDRO_IndexSoftware),FIND(" ",INDEX(DENDRO_SoftwareFullNames,DENDRO_IndexSoftware))+1)) &amp;
DENDRO_YearMostRecent )</f>
        <v/>
      </c>
      <c r="D21" s="831"/>
      <c r="E21" s="503"/>
      <c r="F21" s="386"/>
      <c r="G21" s="357" t="str">
        <f>IF(DENDRO_OptionXL*(DENDRO_N_Software+DENDRO_N_UpgradeUpdate-2)&gt;=((ROW(G21)-ROW($G$9))/4+1),"XLSTEM "&amp; DENDRO_YearMostRecent,"")</f>
        <v/>
      </c>
      <c r="H21" s="313"/>
      <c r="I21" s="313"/>
      <c r="J21" s="357" t="str">
        <f>IF(DENDRO_N_System-1&gt;=((ROW(G21)-ROW($G$9))/4+1),IF(DENDRO_IndexScanner=1,"STD4800","LA2400") &amp; " System"&amp; IF(AND(DENDRO_ClientWithOrWithoutScanner=2,DENDRO_N_System&gt;1)," Sans Scanner"," Avec Scanner"),
IF(AND(DENDRO_N_Software&gt;DENDRO_N_System,DENDRO_N_Software-1&gt;((ROW(G21)-ROW($G$9))/4+1)),IF(N_SystemTotal=0,"Software Only",IF(N_STDScanners+N_LAScanners+N_LCScanners=0,"Software Sans Scanner","Software Avec Scanner")),
IF(DENDRO_N_UpgradeUpdate-1&gt;=((ROW(G21)-ROW($G$9))/4+1)-(MAX(DENDRO_N_System,DENDRO_N_Software)-1),"Update","")))</f>
        <v/>
      </c>
      <c r="K21" s="313"/>
      <c r="L21" s="306"/>
      <c r="M21" s="307"/>
      <c r="N21" s="306"/>
      <c r="O21" s="506"/>
      <c r="P21" s="302"/>
      <c r="Q21" s="302"/>
    </row>
    <row r="22" spans="1:17" ht="24" customHeight="1" x14ac:dyDescent="0.2">
      <c r="A22" s="560" t="s">
        <v>268</v>
      </c>
      <c r="B22" s="375" t="s">
        <v>268</v>
      </c>
      <c r="C22" s="507" t="str">
        <f>"☐☐ Win" &amp;
IF(INT((ROW(D22)-10)/30)+1=1,"DEN","")&amp;
IF(INT((ROW(D22)-10)/30)+1=2,"CEL","")&amp;
IF(INT((ROW(D22)-10)/30)+1=3,"RHI","")&amp;
IF(INT((ROW(D22)-10)/30)+1=4,"RT","")&amp;
IF(INT((ROW(D22)-10)/30)+1=5,"FOL","")&amp;
IF(INT((ROW(D22)-10)/30)+1=6,"SEE","")&amp;
IF(INT((ROW(D22)-10)/30)+1=7,"CAM","")&amp;
IF(INT((ROW(D22)-10)/30)+1=8,"SCA","") &amp; ".exe"</f>
        <v>☐☐ WinDEN.exe</v>
      </c>
      <c r="D22" s="507" t="str">
        <f xml:space="preserve"> IF(N("If it is Cam, Do not Show XL")+AND(ROW(D22)&gt;=189,ROW(D22)&lt;=218),"","☐ XL" &amp;
IF(INT((ROW(D22)-10)/30)+1=1,"STEM","")&amp;
IF(INT((ROW(D22)-10)/30)+1=2,"Cell","")&amp;
IF(INT((ROW(D22)-10)/30)+1=3,"Rhizo","")&amp;
IF(INT((ROW(D22)-10)/30)+1=4,"RhizoT","")&amp;
IF(INT((ROW(D22)-10)/30)+1=5,"Folia","")&amp;
IF(INT((ROW(D22)-10)/30)+1=6,"Seedle","")&amp;
IF(INT((ROW(D22)-10)/30)+1=7,"Cam","")&amp;
IF(INT((ROW(D22)-10)/30)+1=8,"Scanopy","") &amp; ".xls")</f>
        <v>☐ XLSTEM.xls</v>
      </c>
      <c r="E22" s="507" t="s">
        <v>309</v>
      </c>
      <c r="F22" s="508" t="s">
        <v>159</v>
      </c>
      <c r="G22" s="507" t="str">
        <f xml:space="preserve"> IF(N("If it is Cam, Do not Show XL")+AND(ROW(G22)&gt;=189,ROW(G22)&lt;=218),"","☐ XL Man")</f>
        <v>☐ XL Man</v>
      </c>
      <c r="H22" s="508" t="s">
        <v>290</v>
      </c>
      <c r="I22" s="395" t="s">
        <v>284</v>
      </c>
      <c r="J22" s="508" t="str">
        <f>IF(N("Si OR dessous = vrai, pas de box")+OR(
N("1 OR Tron ou CELL")+OR(AND(ROW(E22)&gt;=39,ROW(E22)&lt;=68),AND(ROW(E22)&gt;=99,ROW(E22)&lt;=128)),
N("2 Pas de système scanopy and range opy")+AND(ROW(E22)&gt;=219,ROW(E22)&lt;=248,SCANOPY_N_System&lt;2),
N("3 Avec LC")&amp;IF(ISERROR(LEFT(D21,SEARCH("00",D21)-3)),"",LEFT(D21,SEARCH("00",D21)-3))="LC"),"","☐ ")
&amp;
IF(N("If it's OPY, put OMount Manual instead")+
AND(ROW(D22)&gt;=219,ROW(D22)&lt;=248),
IF(SCANOPY_N_System&gt;1,
IF(SCANOPY_IndexScanner=1,"α" &amp; SCANOPY_CameraModel,SCANOPY_CameraModel_Mini) &amp; " Man",""),
IF(N("If it is Cell or Tron, Do not Show Scanner related items+No Video if LC")+OR(
AND(ROW(E22)&gt;=39,ROW(E22)&lt;=68),
AND(ROW(E22)&gt;=99,ROW(E22)&lt;=128)),
    "", IF(1=N("Si système a un scanner différent du Scanner populaire alors différent, sinon Scanner populaire")+AND(NOT(ISERROR(SEARCH("System",D21))),LEFT(D21,2)&lt;&gt;LEFT(PROD_MostPopularScanner,2)),
LEFT(D21,SEARCH("00",D21)-3),
PROD_MostPopularScanner) &amp; " Install Man"))</f>
        <v>☐ Scan. Install Man</v>
      </c>
      <c r="K22" s="507" t="str">
        <f>IF(N("If it is Cell or Tron or OPY, Do not Show Twain")+OR(AND(ROW(K22)&gt;=39,ROW(K22)&lt;=68),AND(ROW(K22)&gt;=99,ROW(K22)&lt;=128),AND(ROW(J22)&gt;=219,ROW(J22)&lt;=248)),"","☐ TWAIN")</f>
        <v>☐ TWAIN</v>
      </c>
      <c r="L22" s="508" t="str">
        <f>IF(N("Si OR dessous = vrai, pas de box")+OR(
N("1 OR Dendro+CELL, Tron+Folia,Cam")+OR(
AND(ROW(K22)&gt;=9,ROW(K22)&lt;=68),
AND(ROW(K22)&gt;=99,ROW(K22)&lt;=158),
AND(ROW(K22)&gt;=189,ROW(K22)&lt;=218)),
N("2 Pas de système scanopy and range opy")+AND(ROW(K22)&gt;=219,ROW(K22)&lt;=248,SCANOPY_N_System&lt;2),
N("3 Avec LC")&amp;IF(ISERROR(LEFT(J21,SEARCH("00",J21)-3)),"",LEFT(J21,SEARCH("00",J21)-3))="LC"),"","☐ ")
&amp;
IF(N("If it's OPY, put OMount Manual instead")+
AND(ROW(J22)&gt;=219,ROW(J22)&lt;=248),
IF(SCANOPY_N_System&gt;1,"OMount Man",""),
IF(N("If it is Dendro+CELL, Tron+Folia or Cam, Do not Show Scanner related items+No Video if LC")+OR(
AND(ROW(K22)&gt;=9,ROW(K22)&lt;=68),
AND(ROW(K22)&gt;=99,ROW(K22)&lt;=158),
AND(ROW(K22)&gt;=189,ROW(K22)&lt;=218),
IF(ISERROR(LEFT(J21,SEARCH("00",J21)-3)),"",LEFT(J21,SEARCH("00",J21)-3))="LC"),
    "", "Video " &amp; IF(1=N("Si système a un scanner différent du Scanner populaire alors différent, sinon Scanner populaire")+AND(NOT(ISERROR(SEARCH("System",J21))),LEFT(J21,2)&lt;&gt;LEFT(PROD_MostPopularScanner,2)),
LEFT(J21,SEARCH("00",J21)-3),
PROD_MostPopularScanner) &amp; " Install"))</f>
        <v/>
      </c>
      <c r="M22" s="507" t="str">
        <f>IF(N("If it is Dendro or Tron, Do not Show Color Analysis Video")+
OR(AND(ROW(L22)&gt;=9,ROW(L22)&lt;=38),
AND(ROW(L22)&gt;=99,ROW(L22)&lt;=128)), "","☐ Video ClrAna")</f>
        <v/>
      </c>
      <c r="N22" s="508" t="str">
        <f>IF(OR(INT((ROW(D22)-10)/30)+1=2,INT((ROW(D22)-10)/30)+1=4),"","☐ ")&amp;
IF(INT((ROW(D22)-10)/30)+1=1,"Scanner.cal","")&amp;
IF(INT((ROW(D22)-10)/30)+1=2,"","")&amp;
IF(INT((ROW(D22)-10)/30)+1=3,"Scanner.cal","")&amp;
IF(INT((ROW(D22)-10)/30)+1=4,"","")&amp;
IF(INT((ROW(D22)-10)/30)+1=5,"Scanner.cal","")&amp;
IF(INT((ROW(D22)-10)/30)+1=6,"Scanner.cal","")&amp;
IF(INT((ROW(D22)-10)/30)+1=7,"Scanner.cal","")&amp;
IF(INT((ROW(D22)-10)/30)+1=8,IF(SCANOPY_Camera, "Indiv", "Gen")&amp; " Lens.cal","")</f>
        <v>☐ Scanner.cal</v>
      </c>
      <c r="O22" s="395" t="str">
        <f>IF(AND(ROW(L22)&gt;=9,ROW(L22)&lt;=38),"☐ RegentTarget.blu","")</f>
        <v>☐ RegentTarget.blu</v>
      </c>
      <c r="P22" s="302"/>
      <c r="Q22" s="302"/>
    </row>
    <row r="23" spans="1:17" ht="24" customHeight="1" x14ac:dyDescent="0.2">
      <c r="A23" s="560" t="s">
        <v>269</v>
      </c>
      <c r="B23" s="311" t="s">
        <v>269</v>
      </c>
      <c r="C23" s="395" t="s">
        <v>159</v>
      </c>
      <c r="D23" s="395" t="str">
        <f xml:space="preserve"> IF(N("If it is Cam, Do not Show XL")+AND(ROW(D23)&gt;=189,ROW(D23)&lt;=218),"","☐ XL Man")</f>
        <v>☐ XL Man</v>
      </c>
      <c r="E23" s="570" t="str">
        <f>IF(N("Si OR dessous = vrai, pas de box")+OR(
N("1 OR Tron ou CELL")+OR(AND(ROW(K22)&gt;=39,ROW(K22)&lt;=68),AND(ROW(K22)&gt;=99,ROW(K22)&lt;=128)),
N("2 Pas de système scanopy and range opy")+AND(ROW(K22)&gt;=219,ROW(K22)&lt;=248,SCANOPY_N_System&lt;2),
N("3 Avec LC")&amp;IF(ISERROR(LEFT(J21,SEARCH("00",J21)-3)),"",LEFT(J21,SEARCH("00",J21)-3))="LC"),"","☐ ")
&amp;
IF(N("If it's OPY, put OMount Manual instead")+
AND(ROW(J22)&gt;=219,ROW(J22)&lt;=248),
IF(SCANOPY_N_System&gt;1,"OMount Man",""),
IF(N("If it is Cell or Tron, Do not Show Scanner related items")+OR(
AND(ROW(K22)&gt;=39,ROW(K22)&lt;=68),
AND(ROW(K22)&gt;=99,ROW(K22)&lt;=128)),
    "", IF(1=N("Si système a un scanner différent du Scanner populaire alors différent, sinon Scanner populaire")+AND(NOT(ISERROR(SEARCH("System",J21))),LEFT(J21,2)&lt;&gt;LEFT(PROD_MostPopularScanner,2)),
LEFT(J21,SEARCH("00",J21)-3),
PROD_MostPopularScanner) &amp; " Install Man"))</f>
        <v>☐ Scan. Install Man</v>
      </c>
      <c r="F23" s="509" t="s">
        <v>285</v>
      </c>
      <c r="G23" s="395" t="s">
        <v>284</v>
      </c>
      <c r="H23" s="572" t="s">
        <v>260</v>
      </c>
      <c r="I23" s="510"/>
      <c r="J23" s="395" t="s">
        <v>160</v>
      </c>
      <c r="K23" s="353"/>
      <c r="L23" s="572" t="s">
        <v>734</v>
      </c>
      <c r="M23" s="395"/>
      <c r="N23" s="509"/>
      <c r="O23" s="395"/>
      <c r="P23" s="302"/>
      <c r="Q23" s="302"/>
    </row>
    <row r="24" spans="1:17" ht="16.25" customHeight="1" x14ac:dyDescent="0.2">
      <c r="A24" s="548"/>
      <c r="B24" s="378"/>
      <c r="C24" s="831" t="str">
        <f>IF((DENDRO_N_UpgradeUpdate + DENDRO_N_Software ) = 2,"",LEFT(INDEX(DENDRO_SoftwareFullNames,DENDRO_IndexSoftware),FIND(" ",INDEX(DENDRO_SoftwareFullNames,DENDRO_IndexSoftware),FIND(" ",INDEX(DENDRO_SoftwareFullNames,DENDRO_IndexSoftware))+1)) &amp;
DENDRO_YearMostRecent )</f>
        <v/>
      </c>
      <c r="D24" s="831"/>
      <c r="E24" s="503"/>
      <c r="F24" s="386"/>
      <c r="G24" s="357" t="str">
        <f>IF(DENDRO_OptionXL*(DENDRO_N_Software+DENDRO_N_UpgradeUpdate-2)&gt;=((ROW(G24)-ROW($G$9))/4+1),"XLSTEM "&amp; DENDRO_YearMostRecent,"")</f>
        <v/>
      </c>
      <c r="H24" s="313"/>
      <c r="I24" s="313"/>
      <c r="J24" s="357" t="str">
        <f>IF(DENDRO_N_System-1&gt;=((ROW(G24)-ROW($G$9))/4+1),IF(DENDRO_IndexScanner=1,"STD4800","LA2400") &amp; " System"&amp; IF(AND(DENDRO_ClientWithOrWithoutScanner=2,DENDRO_N_System&gt;1)," Sans Scanner"," Avec Scanner"),
IF(AND(DENDRO_N_Software&gt;DENDRO_N_System,DENDRO_N_Software-1&gt;((ROW(G24)-ROW($G$9))/4+1)),IF(N_SystemTotal=0,"Software Only",IF(N_STDScanners+N_LAScanners+N_LCScanners=0,"Software Sans Scanner","Software Avec Scanner")),
IF(DENDRO_N_UpgradeUpdate-1&gt;=((ROW(G24)-ROW($G$9))/4+1)-(MAX(DENDRO_N_System,DENDRO_N_Software)-1),"Update","")))</f>
        <v/>
      </c>
      <c r="K24" s="313"/>
      <c r="L24" s="306"/>
      <c r="M24" s="307"/>
      <c r="N24" s="306"/>
      <c r="O24" s="506"/>
      <c r="P24" s="302"/>
      <c r="Q24" s="302"/>
    </row>
    <row r="25" spans="1:17" ht="24" customHeight="1" x14ac:dyDescent="0.2">
      <c r="A25" s="560" t="s">
        <v>268</v>
      </c>
      <c r="B25" s="375" t="s">
        <v>268</v>
      </c>
      <c r="C25" s="507" t="str">
        <f>"☐☐ Win" &amp;
IF(INT((ROW(D25)-10)/30)+1=1,"DEN","")&amp;
IF(INT((ROW(D25)-10)/30)+1=2,"CEL","")&amp;
IF(INT((ROW(D25)-10)/30)+1=3,"RHI","")&amp;
IF(INT((ROW(D25)-10)/30)+1=4,"RT","")&amp;
IF(INT((ROW(D25)-10)/30)+1=5,"FOL","")&amp;
IF(INT((ROW(D25)-10)/30)+1=6,"SEE","")&amp;
IF(INT((ROW(D25)-10)/30)+1=7,"CAM","")&amp;
IF(INT((ROW(D25)-10)/30)+1=8,"SCA","") &amp; ".exe"</f>
        <v>☐☐ WinDEN.exe</v>
      </c>
      <c r="D25" s="507" t="str">
        <f xml:space="preserve"> IF(N("If it is Cam, Do not Show XL")+AND(ROW(D25)&gt;=189,ROW(D25)&lt;=218),"","☐ XL" &amp;
IF(INT((ROW(D25)-10)/30)+1=1,"STEM","")&amp;
IF(INT((ROW(D25)-10)/30)+1=2,"Cell","")&amp;
IF(INT((ROW(D25)-10)/30)+1=3,"Rhizo","")&amp;
IF(INT((ROW(D25)-10)/30)+1=4,"RhizoT","")&amp;
IF(INT((ROW(D25)-10)/30)+1=5,"Folia","")&amp;
IF(INT((ROW(D25)-10)/30)+1=6,"Seedle","")&amp;
IF(INT((ROW(D25)-10)/30)+1=7,"Cam","")&amp;
IF(INT((ROW(D25)-10)/30)+1=8,"Scanopy","") &amp; ".xls")</f>
        <v>☐ XLSTEM.xls</v>
      </c>
      <c r="E25" s="507" t="s">
        <v>309</v>
      </c>
      <c r="F25" s="508" t="s">
        <v>159</v>
      </c>
      <c r="G25" s="507" t="str">
        <f xml:space="preserve"> IF(N("If it is Cam, Do not Show XL")+AND(ROW(G25)&gt;=189,ROW(G25)&lt;=218),"","☐ XL Man")</f>
        <v>☐ XL Man</v>
      </c>
      <c r="H25" s="508" t="s">
        <v>290</v>
      </c>
      <c r="I25" s="395" t="s">
        <v>284</v>
      </c>
      <c r="J25" s="508" t="str">
        <f>IF(N("Si OR dessous = vrai, pas de box")+OR(
N("1 OR Tron ou CELL")+OR(AND(ROW(E25)&gt;=39,ROW(E25)&lt;=68),AND(ROW(E25)&gt;=99,ROW(E25)&lt;=128)),
N("2 Pas de système scanopy and range opy")+AND(ROW(E25)&gt;=219,ROW(E25)&lt;=248,SCANOPY_N_System&lt;2),
N("3 Avec LC")&amp;IF(ISERROR(LEFT(D24,SEARCH("00",D24)-3)),"",LEFT(D24,SEARCH("00",D24)-3))="LC"),"","☐ ")
&amp;
IF(N("If it's OPY, put OMount Manual instead")+
AND(ROW(D25)&gt;=219,ROW(D25)&lt;=248),
IF(SCANOPY_N_System&gt;1,
IF(SCANOPY_IndexScanner=1,"α" &amp; SCANOPY_CameraModel,SCANOPY_CameraModel_Mini) &amp; " Man",""),
IF(N("If it is Cell or Tron, Do not Show Scanner related items+No Video if LC")+OR(
AND(ROW(E25)&gt;=39,ROW(E25)&lt;=68),
AND(ROW(E25)&gt;=99,ROW(E25)&lt;=128)),
    "", IF(1=N("Si système a un scanner différent du Scanner populaire alors différent, sinon Scanner populaire")+AND(NOT(ISERROR(SEARCH("System",D24))),LEFT(D24,2)&lt;&gt;LEFT(PROD_MostPopularScanner,2)),
LEFT(D24,SEARCH("00",D24)-3),
PROD_MostPopularScanner) &amp; " Install Man"))</f>
        <v>☐ Scan. Install Man</v>
      </c>
      <c r="K25" s="507" t="str">
        <f>IF(N("If it is Cell or Tron or OPY, Do not Show Twain")+OR(AND(ROW(K25)&gt;=39,ROW(K25)&lt;=68),AND(ROW(K25)&gt;=99,ROW(K25)&lt;=128),AND(ROW(J25)&gt;=219,ROW(J25)&lt;=248)),"","☐ TWAIN")</f>
        <v>☐ TWAIN</v>
      </c>
      <c r="L25" s="508" t="str">
        <f>IF(N("Si OR dessous = vrai, pas de box")+OR(
N("1 OR Dendro+CELL, Tron+Folia,Cam")+OR(
AND(ROW(K25)&gt;=9,ROW(K25)&lt;=68),
AND(ROW(K25)&gt;=99,ROW(K25)&lt;=158),
AND(ROW(K25)&gt;=189,ROW(K25)&lt;=218)),
N("2 Pas de système scanopy and range opy")+AND(ROW(K25)&gt;=219,ROW(K25)&lt;=248,SCANOPY_N_System&lt;2),
N("3 Avec LC")&amp;IF(ISERROR(LEFT(J24,SEARCH("00",J24)-3)),"",LEFT(J24,SEARCH("00",J24)-3))="LC"),"","☐ ")
&amp;
IF(N("If it's OPY, put OMount Manual instead")+
AND(ROW(J25)&gt;=219,ROW(J25)&lt;=248),
IF(SCANOPY_N_System&gt;1,"OMount Man",""),
IF(N("If it is Dendro+CELL, Tron+Folia or Cam, Do not Show Scanner related items+No Video if LC")+OR(
AND(ROW(K25)&gt;=9,ROW(K25)&lt;=68),
AND(ROW(K25)&gt;=99,ROW(K25)&lt;=158),
AND(ROW(K25)&gt;=189,ROW(K25)&lt;=218),
IF(ISERROR(LEFT(J24,SEARCH("00",J24)-3)),"",LEFT(J24,SEARCH("00",J24)-3))="LC"),
    "", "Video " &amp; IF(1=N("Si système a un scanner différent du Scanner populaire alors différent, sinon Scanner populaire")+AND(NOT(ISERROR(SEARCH("System",J24))),LEFT(J24,2)&lt;&gt;LEFT(PROD_MostPopularScanner,2)),
LEFT(J24,SEARCH("00",J24)-3),
PROD_MostPopularScanner) &amp; " Install"))</f>
        <v/>
      </c>
      <c r="M25" s="507" t="str">
        <f>IF(N("If it is Dendro or Tron, Do not Show Color Analysis Video")+
OR(AND(ROW(L25)&gt;=9,ROW(L25)&lt;=38),
AND(ROW(L25)&gt;=99,ROW(L25)&lt;=128)), "","☐ Video ClrAna")</f>
        <v/>
      </c>
      <c r="N25" s="508" t="str">
        <f>IF(OR(INT((ROW(D25)-10)/30)+1=2,INT((ROW(D25)-10)/30)+1=4),"","☐ ")&amp;
IF(INT((ROW(D25)-10)/30)+1=1,"Scanner.cal","")&amp;
IF(INT((ROW(D25)-10)/30)+1=2,"","")&amp;
IF(INT((ROW(D25)-10)/30)+1=3,"Scanner.cal","")&amp;
IF(INT((ROW(D25)-10)/30)+1=4,"","")&amp;
IF(INT((ROW(D25)-10)/30)+1=5,"Scanner.cal","")&amp;
IF(INT((ROW(D25)-10)/30)+1=6,"Scanner.cal","")&amp;
IF(INT((ROW(D25)-10)/30)+1=7,"Scanner.cal","")&amp;
IF(INT((ROW(D25)-10)/30)+1=8,IF(SCANOPY_Camera, "Indiv", "Gen")&amp; " Lens.cal","")</f>
        <v>☐ Scanner.cal</v>
      </c>
      <c r="O25" s="395" t="str">
        <f>IF(AND(ROW(L25)&gt;=9,ROW(L25)&lt;=38),"☐ RegentTarget.blu","")</f>
        <v>☐ RegentTarget.blu</v>
      </c>
      <c r="P25" s="302"/>
      <c r="Q25" s="302"/>
    </row>
    <row r="26" spans="1:17" ht="24" customHeight="1" x14ac:dyDescent="0.2">
      <c r="A26" s="560" t="s">
        <v>269</v>
      </c>
      <c r="B26" s="311" t="s">
        <v>269</v>
      </c>
      <c r="C26" s="395" t="s">
        <v>159</v>
      </c>
      <c r="D26" s="395" t="str">
        <f xml:space="preserve"> IF(N("If it is Cam, Do not Show XL")+AND(ROW(D26)&gt;=189,ROW(D26)&lt;=218),"","☐ XL Man")</f>
        <v>☐ XL Man</v>
      </c>
      <c r="E26" s="570" t="str">
        <f>IF(N("Si OR dessous = vrai, pas de box")+OR(
N("1 OR Tron ou CELL")+OR(AND(ROW(K25)&gt;=39,ROW(K25)&lt;=68),AND(ROW(K25)&gt;=99,ROW(K25)&lt;=128)),
N("2 Pas de système scanopy and range opy")+AND(ROW(K25)&gt;=219,ROW(K25)&lt;=248,SCANOPY_N_System&lt;2),
N("3 Avec LC")&amp;IF(ISERROR(LEFT(J24,SEARCH("00",J24)-3)),"",LEFT(J24,SEARCH("00",J24)-3))="LC"),"","☐ ")
&amp;
IF(N("If it's OPY, put OMount Manual instead")+
AND(ROW(J25)&gt;=219,ROW(J25)&lt;=248),
IF(SCANOPY_N_System&gt;1,"OMount Man",""),
IF(N("If it is Cell or Tron, Do not Show Scanner related items")+OR(
AND(ROW(K25)&gt;=39,ROW(K25)&lt;=68),
AND(ROW(K25)&gt;=99,ROW(K25)&lt;=128)),
    "", IF(1=N("Si système a un scanner différent du Scanner populaire alors différent, sinon Scanner populaire")+AND(NOT(ISERROR(SEARCH("System",J24))),LEFT(J24,2)&lt;&gt;LEFT(PROD_MostPopularScanner,2)),
LEFT(J24,SEARCH("00",J24)-3),
PROD_MostPopularScanner) &amp; " Install Man"))</f>
        <v>☐ Scan. Install Man</v>
      </c>
      <c r="F26" s="509" t="s">
        <v>285</v>
      </c>
      <c r="G26" s="395" t="s">
        <v>284</v>
      </c>
      <c r="H26" s="572" t="s">
        <v>260</v>
      </c>
      <c r="I26" s="510"/>
      <c r="J26" s="395" t="s">
        <v>160</v>
      </c>
      <c r="K26" s="353"/>
      <c r="L26" s="572" t="s">
        <v>734</v>
      </c>
      <c r="M26" s="395"/>
      <c r="N26" s="509"/>
      <c r="O26" s="395"/>
      <c r="P26" s="302"/>
      <c r="Q26" s="302"/>
    </row>
    <row r="27" spans="1:17" ht="16.25" customHeight="1" x14ac:dyDescent="0.2">
      <c r="A27" s="548"/>
      <c r="B27" s="378"/>
      <c r="C27" s="831" t="str">
        <f>IF((DENDRO_N_UpgradeUpdate + DENDRO_N_Software ) = 2,"",LEFT(INDEX(DENDRO_SoftwareFullNames,DENDRO_IndexSoftware),FIND(" ",INDEX(DENDRO_SoftwareFullNames,DENDRO_IndexSoftware),FIND(" ",INDEX(DENDRO_SoftwareFullNames,DENDRO_IndexSoftware))+1)) &amp;
DENDRO_YearMostRecent )</f>
        <v/>
      </c>
      <c r="D27" s="831"/>
      <c r="E27" s="503"/>
      <c r="F27" s="386"/>
      <c r="G27" s="357" t="str">
        <f>IF(DENDRO_OptionXL*(DENDRO_N_Software+DENDRO_N_UpgradeUpdate-2)&gt;=((ROW(G27)-ROW($G$9))/4+1),"XLSTEM "&amp; DENDRO_YearMostRecent,"")</f>
        <v/>
      </c>
      <c r="H27" s="313"/>
      <c r="I27" s="313"/>
      <c r="J27" s="357" t="str">
        <f>IF(DENDRO_N_System-1&gt;=((ROW(G27)-ROW($G$9))/4+1),IF(DENDRO_IndexScanner=1,"STD4800","LA2400") &amp; " System"&amp; IF(AND(DENDRO_ClientWithOrWithoutScanner=2,DENDRO_N_System&gt;1)," Sans Scanner"," Avec Scanner"),
IF(AND(DENDRO_N_Software&gt;DENDRO_N_System,DENDRO_N_Software-1&gt;((ROW(G27)-ROW($G$9))/4+1)),IF(N_SystemTotal=0,"Software Only",IF(N_STDScanners+N_LAScanners+N_LCScanners=0,"Software Sans Scanner","Software Avec Scanner")),
IF(DENDRO_N_UpgradeUpdate-1&gt;=((ROW(G27)-ROW($G$9))/4+1)-(MAX(DENDRO_N_System,DENDRO_N_Software)-1),"Update","")))</f>
        <v/>
      </c>
      <c r="K27" s="313"/>
      <c r="L27" s="306"/>
      <c r="M27" s="307"/>
      <c r="N27" s="306"/>
      <c r="O27" s="506"/>
      <c r="P27" s="302"/>
      <c r="Q27" s="302"/>
    </row>
    <row r="28" spans="1:17" ht="24" customHeight="1" x14ac:dyDescent="0.2">
      <c r="A28" s="560" t="s">
        <v>268</v>
      </c>
      <c r="B28" s="375" t="s">
        <v>268</v>
      </c>
      <c r="C28" s="507" t="str">
        <f>"☐☐ Win" &amp;
IF(INT((ROW(D28)-10)/30)+1=1,"DEN","")&amp;
IF(INT((ROW(D28)-10)/30)+1=2,"CEL","")&amp;
IF(INT((ROW(D28)-10)/30)+1=3,"RHI","")&amp;
IF(INT((ROW(D28)-10)/30)+1=4,"RT","")&amp;
IF(INT((ROW(D28)-10)/30)+1=5,"FOL","")&amp;
IF(INT((ROW(D28)-10)/30)+1=6,"SEE","")&amp;
IF(INT((ROW(D28)-10)/30)+1=7,"CAM","")&amp;
IF(INT((ROW(D28)-10)/30)+1=8,"SCA","") &amp; ".exe"</f>
        <v>☐☐ WinDEN.exe</v>
      </c>
      <c r="D28" s="507" t="str">
        <f xml:space="preserve"> IF(N("If it is Cam, Do not Show XL")+AND(ROW(D28)&gt;=189,ROW(D28)&lt;=218),"","☐ XL" &amp;
IF(INT((ROW(D28)-10)/30)+1=1,"STEM","")&amp;
IF(INT((ROW(D28)-10)/30)+1=2,"Cell","")&amp;
IF(INT((ROW(D28)-10)/30)+1=3,"Rhizo","")&amp;
IF(INT((ROW(D28)-10)/30)+1=4,"RhizoT","")&amp;
IF(INT((ROW(D28)-10)/30)+1=5,"Folia","")&amp;
IF(INT((ROW(D28)-10)/30)+1=6,"Seedle","")&amp;
IF(INT((ROW(D28)-10)/30)+1=7,"Cam","")&amp;
IF(INT((ROW(D28)-10)/30)+1=8,"Scanopy","") &amp; ".xls")</f>
        <v>☐ XLSTEM.xls</v>
      </c>
      <c r="E28" s="507" t="s">
        <v>309</v>
      </c>
      <c r="F28" s="508" t="s">
        <v>159</v>
      </c>
      <c r="G28" s="507" t="str">
        <f xml:space="preserve"> IF(N("If it is Cam, Do not Show XL")+AND(ROW(G28)&gt;=189,ROW(G28)&lt;=218),"","☐ XL Man")</f>
        <v>☐ XL Man</v>
      </c>
      <c r="H28" s="508" t="s">
        <v>290</v>
      </c>
      <c r="I28" s="395" t="s">
        <v>284</v>
      </c>
      <c r="J28" s="508" t="str">
        <f>IF(N("Si OR dessous = vrai, pas de box")+OR(
N("1 OR Tron ou CELL")+OR(AND(ROW(E28)&gt;=39,ROW(E28)&lt;=68),AND(ROW(E28)&gt;=99,ROW(E28)&lt;=128)),
N("2 Pas de système scanopy and range opy")+AND(ROW(E28)&gt;=219,ROW(E28)&lt;=248,SCANOPY_N_System&lt;2),
N("3 Avec LC")&amp;IF(ISERROR(LEFT(D27,SEARCH("00",D27)-3)),"",LEFT(D27,SEARCH("00",D27)-3))="LC"),"","☐ ")
&amp;
IF(N("If it's OPY, put OMount Manual instead")+
AND(ROW(D28)&gt;=219,ROW(D28)&lt;=248),
IF(SCANOPY_N_System&gt;1,
IF(SCANOPY_IndexScanner=1,"α" &amp; SCANOPY_CameraModel,SCANOPY_CameraModel_Mini) &amp; " Man",""),
IF(N("If it is Cell or Tron, Do not Show Scanner related items+No Video if LC")+OR(
AND(ROW(E28)&gt;=39,ROW(E28)&lt;=68),
AND(ROW(E28)&gt;=99,ROW(E28)&lt;=128)),
    "", IF(1=N("Si système a un scanner différent du Scanner populaire alors différent, sinon Scanner populaire")+AND(NOT(ISERROR(SEARCH("System",D27))),LEFT(D27,2)&lt;&gt;LEFT(PROD_MostPopularScanner,2)),
LEFT(D27,SEARCH("00",D27)-3),
PROD_MostPopularScanner) &amp; " Install Man"))</f>
        <v>☐ Scan. Install Man</v>
      </c>
      <c r="K28" s="507" t="str">
        <f>IF(N("If it is Cell or Tron or OPY, Do not Show Twain")+OR(AND(ROW(K28)&gt;=39,ROW(K28)&lt;=68),AND(ROW(K28)&gt;=99,ROW(K28)&lt;=128),AND(ROW(J28)&gt;=219,ROW(J28)&lt;=248)),"","☐ TWAIN")</f>
        <v>☐ TWAIN</v>
      </c>
      <c r="L28" s="508" t="str">
        <f>IF(N("Si OR dessous = vrai, pas de box")+OR(
N("1 OR Dendro+CELL, Tron+Folia,Cam")+OR(
AND(ROW(K28)&gt;=9,ROW(K28)&lt;=68),
AND(ROW(K28)&gt;=99,ROW(K28)&lt;=158),
AND(ROW(K28)&gt;=189,ROW(K28)&lt;=218)),
N("2 Pas de système scanopy and range opy")+AND(ROW(K28)&gt;=219,ROW(K28)&lt;=248,SCANOPY_N_System&lt;2),
N("3 Avec LC")&amp;IF(ISERROR(LEFT(J27,SEARCH("00",J27)-3)),"",LEFT(J27,SEARCH("00",J27)-3))="LC"),"","☐ ")
&amp;
IF(N("If it's OPY, put OMount Manual instead")+
AND(ROW(J28)&gt;=219,ROW(J28)&lt;=248),
IF(SCANOPY_N_System&gt;1,"OMount Man",""),
IF(N("If it is Dendro+CELL, Tron+Folia or Cam, Do not Show Scanner related items+No Video if LC")+OR(
AND(ROW(K28)&gt;=9,ROW(K28)&lt;=68),
AND(ROW(K28)&gt;=99,ROW(K28)&lt;=158),
AND(ROW(K28)&gt;=189,ROW(K28)&lt;=218),
IF(ISERROR(LEFT(J27,SEARCH("00",J27)-3)),"",LEFT(J27,SEARCH("00",J27)-3))="LC"),
    "", "Video " &amp; IF(1=N("Si système a un scanner différent du Scanner populaire alors différent, sinon Scanner populaire")+AND(NOT(ISERROR(SEARCH("System",J27))),LEFT(J27,2)&lt;&gt;LEFT(PROD_MostPopularScanner,2)),
LEFT(J27,SEARCH("00",J27)-3),
PROD_MostPopularScanner) &amp; " Install"))</f>
        <v/>
      </c>
      <c r="M28" s="507" t="str">
        <f>IF(N("If it is Dendro or Tron, Do not Show Color Analysis Video")+
OR(AND(ROW(L28)&gt;=9,ROW(L28)&lt;=38),
AND(ROW(L28)&gt;=99,ROW(L28)&lt;=128)), "","☐ Video ClrAna")</f>
        <v/>
      </c>
      <c r="N28" s="508" t="str">
        <f>IF(OR(INT((ROW(D28)-10)/30)+1=2,INT((ROW(D28)-10)/30)+1=4),"","☐ ")&amp;
IF(INT((ROW(D28)-10)/30)+1=1,"Scanner.cal","")&amp;
IF(INT((ROW(D28)-10)/30)+1=2,"","")&amp;
IF(INT((ROW(D28)-10)/30)+1=3,"Scanner.cal","")&amp;
IF(INT((ROW(D28)-10)/30)+1=4,"","")&amp;
IF(INT((ROW(D28)-10)/30)+1=5,"Scanner.cal","")&amp;
IF(INT((ROW(D28)-10)/30)+1=6,"Scanner.cal","")&amp;
IF(INT((ROW(D28)-10)/30)+1=7,"Scanner.cal","")&amp;
IF(INT((ROW(D28)-10)/30)+1=8,IF(SCANOPY_Camera, "Indiv", "Gen")&amp; " Lens.cal","")</f>
        <v>☐ Scanner.cal</v>
      </c>
      <c r="O28" s="395" t="str">
        <f>IF(AND(ROW(L28)&gt;=9,ROW(L28)&lt;=38),"☐ RegentTarget.blu","")</f>
        <v>☐ RegentTarget.blu</v>
      </c>
      <c r="P28" s="302"/>
      <c r="Q28" s="302"/>
    </row>
    <row r="29" spans="1:17" ht="24" customHeight="1" x14ac:dyDescent="0.2">
      <c r="A29" s="560" t="s">
        <v>269</v>
      </c>
      <c r="B29" s="311" t="s">
        <v>269</v>
      </c>
      <c r="C29" s="395" t="s">
        <v>159</v>
      </c>
      <c r="D29" s="395" t="str">
        <f xml:space="preserve"> IF(N("If it is Cam, Do not Show XL")+AND(ROW(D29)&gt;=189,ROW(D29)&lt;=218),"","☐ XL Man")</f>
        <v>☐ XL Man</v>
      </c>
      <c r="E29" s="570" t="str">
        <f>IF(N("Si OR dessous = vrai, pas de box")+OR(
N("1 OR Tron ou CELL")+OR(AND(ROW(K28)&gt;=39,ROW(K28)&lt;=68),AND(ROW(K28)&gt;=99,ROW(K28)&lt;=128)),
N("2 Pas de système scanopy and range opy")+AND(ROW(K28)&gt;=219,ROW(K28)&lt;=248,SCANOPY_N_System&lt;2),
N("3 Avec LC")&amp;IF(ISERROR(LEFT(J27,SEARCH("00",J27)-3)),"",LEFT(J27,SEARCH("00",J27)-3))="LC"),"","☐ ")
&amp;
IF(N("If it's OPY, put OMount Manual instead")+
AND(ROW(J28)&gt;=219,ROW(J28)&lt;=248),
IF(SCANOPY_N_System&gt;1,"OMount Man",""),
IF(N("If it is Cell or Tron, Do not Show Scanner related items")+OR(
AND(ROW(K28)&gt;=39,ROW(K28)&lt;=68),
AND(ROW(K28)&gt;=99,ROW(K28)&lt;=128)),
    "", IF(1=N("Si système a un scanner différent du Scanner populaire alors différent, sinon Scanner populaire")+AND(NOT(ISERROR(SEARCH("System",J27))),LEFT(J27,2)&lt;&gt;LEFT(PROD_MostPopularScanner,2)),
LEFT(J27,SEARCH("00",J27)-3),
PROD_MostPopularScanner) &amp; " Install Man"))</f>
        <v>☐ Scan. Install Man</v>
      </c>
      <c r="F29" s="509" t="s">
        <v>285</v>
      </c>
      <c r="G29" s="395" t="s">
        <v>284</v>
      </c>
      <c r="H29" s="572" t="s">
        <v>260</v>
      </c>
      <c r="I29" s="510"/>
      <c r="J29" s="395" t="s">
        <v>160</v>
      </c>
      <c r="K29" s="353"/>
      <c r="L29" s="572" t="s">
        <v>734</v>
      </c>
      <c r="M29" s="395"/>
      <c r="N29" s="509"/>
      <c r="O29" s="395"/>
      <c r="P29" s="302"/>
      <c r="Q29" s="302"/>
    </row>
    <row r="30" spans="1:17" ht="16.25" customHeight="1" x14ac:dyDescent="0.2">
      <c r="A30" s="548"/>
      <c r="B30" s="378"/>
      <c r="C30" s="831" t="str">
        <f>IF((DENDRO_N_UpgradeUpdate + DENDRO_N_Software ) = 2,"",LEFT(INDEX(DENDRO_SoftwareFullNames,DENDRO_IndexSoftware),FIND(" ",INDEX(DENDRO_SoftwareFullNames,DENDRO_IndexSoftware),FIND(" ",INDEX(DENDRO_SoftwareFullNames,DENDRO_IndexSoftware))+1)) &amp;
DENDRO_YearMostRecent )</f>
        <v/>
      </c>
      <c r="D30" s="831"/>
      <c r="E30" s="503"/>
      <c r="F30" s="386"/>
      <c r="G30" s="357" t="str">
        <f>IF(DENDRO_OptionXL*(DENDRO_N_Software+DENDRO_N_UpgradeUpdate-2)&gt;=((ROW(G30)-ROW($G$9))/4+1),"XLSTEM "&amp; DENDRO_YearMostRecent,"")</f>
        <v/>
      </c>
      <c r="H30" s="313"/>
      <c r="I30" s="313"/>
      <c r="J30" s="357" t="str">
        <f>IF(DENDRO_N_System-1&gt;=((ROW(G30)-ROW($G$9))/4+1),IF(DENDRO_IndexScanner=1,"STD4800","LA2400") &amp; " System"&amp; IF(AND(DENDRO_ClientWithOrWithoutScanner=2,DENDRO_N_System&gt;1)," Sans Scanner"," Avec Scanner"),
IF(AND(DENDRO_N_Software&gt;DENDRO_N_System,DENDRO_N_Software-1&gt;((ROW(G30)-ROW($G$9))/4+1)),IF(N_SystemTotal=0,"Software Only",IF(N_STDScanners+N_LAScanners+N_LCScanners=0,"Software Sans Scanner","Software Avec Scanner")),
IF(DENDRO_N_UpgradeUpdate-1&gt;=((ROW(G30)-ROW($G$9))/4+1)-(MAX(DENDRO_N_System,DENDRO_N_Software)-1),"Update","")))</f>
        <v/>
      </c>
      <c r="K30" s="313"/>
      <c r="L30" s="306"/>
      <c r="M30" s="307"/>
      <c r="N30" s="306"/>
      <c r="O30" s="506"/>
      <c r="P30" s="302"/>
      <c r="Q30" s="302"/>
    </row>
    <row r="31" spans="1:17" ht="24" customHeight="1" x14ac:dyDescent="0.2">
      <c r="A31" s="560" t="s">
        <v>268</v>
      </c>
      <c r="B31" s="375" t="s">
        <v>268</v>
      </c>
      <c r="C31" s="507" t="str">
        <f>"☐☐ Win" &amp;
IF(INT((ROW(D31)-10)/30)+1=1,"DEN","")&amp;
IF(INT((ROW(D31)-10)/30)+1=2,"CEL","")&amp;
IF(INT((ROW(D31)-10)/30)+1=3,"RHI","")&amp;
IF(INT((ROW(D31)-10)/30)+1=4,"RT","")&amp;
IF(INT((ROW(D31)-10)/30)+1=5,"FOL","")&amp;
IF(INT((ROW(D31)-10)/30)+1=6,"SEE","")&amp;
IF(INT((ROW(D31)-10)/30)+1=7,"CAM","")&amp;
IF(INT((ROW(D31)-10)/30)+1=8,"SCA","") &amp; ".exe"</f>
        <v>☐☐ WinDEN.exe</v>
      </c>
      <c r="D31" s="507" t="str">
        <f xml:space="preserve"> IF(N("If it is Cam, Do not Show XL")+AND(ROW(D31)&gt;=189,ROW(D31)&lt;=218),"","☐ XL" &amp;
IF(INT((ROW(D31)-10)/30)+1=1,"STEM","")&amp;
IF(INT((ROW(D31)-10)/30)+1=2,"Cell","")&amp;
IF(INT((ROW(D31)-10)/30)+1=3,"Rhizo","")&amp;
IF(INT((ROW(D31)-10)/30)+1=4,"RhizoT","")&amp;
IF(INT((ROW(D31)-10)/30)+1=5,"Folia","")&amp;
IF(INT((ROW(D31)-10)/30)+1=6,"Seedle","")&amp;
IF(INT((ROW(D31)-10)/30)+1=7,"Cam","")&amp;
IF(INT((ROW(D31)-10)/30)+1=8,"Scanopy","") &amp; ".xls")</f>
        <v>☐ XLSTEM.xls</v>
      </c>
      <c r="E31" s="507" t="s">
        <v>309</v>
      </c>
      <c r="F31" s="508" t="s">
        <v>159</v>
      </c>
      <c r="G31" s="507" t="str">
        <f xml:space="preserve"> IF(N("If it is Cam, Do not Show XL")+AND(ROW(G31)&gt;=189,ROW(G31)&lt;=218),"","☐ XL Man")</f>
        <v>☐ XL Man</v>
      </c>
      <c r="H31" s="508" t="s">
        <v>290</v>
      </c>
      <c r="I31" s="395" t="s">
        <v>284</v>
      </c>
      <c r="J31" s="508" t="str">
        <f>IF(N("Si OR dessous = vrai, pas de box")+OR(
N("1 OR Tron ou CELL")+OR(AND(ROW(E31)&gt;=39,ROW(E31)&lt;=68),AND(ROW(E31)&gt;=99,ROW(E31)&lt;=128)),
N("2 Pas de système scanopy and range opy")+AND(ROW(E31)&gt;=219,ROW(E31)&lt;=248,SCANOPY_N_System&lt;2),
N("3 Avec LC")&amp;IF(ISERROR(LEFT(D30,SEARCH("00",D30)-3)),"",LEFT(D30,SEARCH("00",D30)-3))="LC"),"","☐ ")
&amp;
IF(N("If it's OPY, put OMount Manual instead")+
AND(ROW(D31)&gt;=219,ROW(D31)&lt;=248),
IF(SCANOPY_N_System&gt;1,
IF(SCANOPY_IndexScanner=1,"α" &amp; SCANOPY_CameraModel,SCANOPY_CameraModel_Mini) &amp; " Man",""),
IF(N("If it is Cell or Tron, Do not Show Scanner related items+No Video if LC")+OR(
AND(ROW(E31)&gt;=39,ROW(E31)&lt;=68),
AND(ROW(E31)&gt;=99,ROW(E31)&lt;=128)),
    "", IF(1=N("Si système a un scanner différent du Scanner populaire alors différent, sinon Scanner populaire")+AND(NOT(ISERROR(SEARCH("System",D30))),LEFT(D30,2)&lt;&gt;LEFT(PROD_MostPopularScanner,2)),
LEFT(D30,SEARCH("00",D30)-3),
PROD_MostPopularScanner) &amp; " Install Man"))</f>
        <v>☐ Scan. Install Man</v>
      </c>
      <c r="K31" s="507" t="str">
        <f>IF(N("If it is Cell or Tron or OPY, Do not Show Twain")+OR(AND(ROW(K31)&gt;=39,ROW(K31)&lt;=68),AND(ROW(K31)&gt;=99,ROW(K31)&lt;=128),AND(ROW(J31)&gt;=219,ROW(J31)&lt;=248)),"","☐ TWAIN")</f>
        <v>☐ TWAIN</v>
      </c>
      <c r="L31" s="508" t="str">
        <f>IF(N("Si OR dessous = vrai, pas de box")+OR(
N("1 OR Dendro+CELL, Tron+Folia,Cam")+OR(
AND(ROW(K31)&gt;=9,ROW(K31)&lt;=68),
AND(ROW(K31)&gt;=99,ROW(K31)&lt;=158),
AND(ROW(K31)&gt;=189,ROW(K31)&lt;=218)),
N("2 Pas de système scanopy and range opy")+AND(ROW(K31)&gt;=219,ROW(K31)&lt;=248,SCANOPY_N_System&lt;2),
N("3 Avec LC")&amp;IF(ISERROR(LEFT(J30,SEARCH("00",J30)-3)),"",LEFT(J30,SEARCH("00",J30)-3))="LC"),"","☐ ")
&amp;
IF(N("If it's OPY, put OMount Manual instead")+
AND(ROW(J31)&gt;=219,ROW(J31)&lt;=248),
IF(SCANOPY_N_System&gt;1,"OMount Man",""),
IF(N("If it is Dendro+CELL, Tron+Folia or Cam, Do not Show Scanner related items+No Video if LC")+OR(
AND(ROW(K31)&gt;=9,ROW(K31)&lt;=68),
AND(ROW(K31)&gt;=99,ROW(K31)&lt;=158),
AND(ROW(K31)&gt;=189,ROW(K31)&lt;=218),
IF(ISERROR(LEFT(J30,SEARCH("00",J30)-3)),"",LEFT(J30,SEARCH("00",J30)-3))="LC"),
    "", "Video " &amp; IF(1=N("Si système a un scanner différent du Scanner populaire alors différent, sinon Scanner populaire")+AND(NOT(ISERROR(SEARCH("System",J30))),LEFT(J30,2)&lt;&gt;LEFT(PROD_MostPopularScanner,2)),
LEFT(J30,SEARCH("00",J30)-3),
PROD_MostPopularScanner) &amp; " Install"))</f>
        <v/>
      </c>
      <c r="M31" s="507" t="str">
        <f>IF(N("If it is Dendro or Tron, Do not Show Color Analysis Video")+
OR(AND(ROW(L31)&gt;=9,ROW(L31)&lt;=38),
AND(ROW(L31)&gt;=99,ROW(L31)&lt;=128)), "","☐ Video ClrAna")</f>
        <v/>
      </c>
      <c r="N31" s="508" t="str">
        <f>IF(OR(INT((ROW(D31)-10)/30)+1=2,INT((ROW(D31)-10)/30)+1=4),"","☐ ")&amp;
IF(INT((ROW(D31)-10)/30)+1=1,"Scanner.cal","")&amp;
IF(INT((ROW(D31)-10)/30)+1=2,"","")&amp;
IF(INT((ROW(D31)-10)/30)+1=3,"Scanner.cal","")&amp;
IF(INT((ROW(D31)-10)/30)+1=4,"","")&amp;
IF(INT((ROW(D31)-10)/30)+1=5,"Scanner.cal","")&amp;
IF(INT((ROW(D31)-10)/30)+1=6,"Scanner.cal","")&amp;
IF(INT((ROW(D31)-10)/30)+1=7,"Scanner.cal","")&amp;
IF(INT((ROW(D31)-10)/30)+1=8,IF(SCANOPY_Camera, "Indiv", "Gen")&amp; " Lens.cal","")</f>
        <v>☐ Scanner.cal</v>
      </c>
      <c r="O31" s="395" t="str">
        <f>IF(AND(ROW(L31)&gt;=9,ROW(L31)&lt;=38),"☐ RegentTarget.blu","")</f>
        <v>☐ RegentTarget.blu</v>
      </c>
      <c r="P31" s="302"/>
      <c r="Q31" s="302"/>
    </row>
    <row r="32" spans="1:17" ht="24" customHeight="1" x14ac:dyDescent="0.2">
      <c r="A32" s="560" t="s">
        <v>269</v>
      </c>
      <c r="B32" s="311" t="s">
        <v>269</v>
      </c>
      <c r="C32" s="395" t="s">
        <v>159</v>
      </c>
      <c r="D32" s="395" t="str">
        <f xml:space="preserve"> IF(N("If it is Cam, Do not Show XL")+AND(ROW(D32)&gt;=189,ROW(D32)&lt;=218),"","☐ XL Man")</f>
        <v>☐ XL Man</v>
      </c>
      <c r="E32" s="570" t="str">
        <f>IF(N("Si OR dessous = vrai, pas de box")+OR(
N("1 OR Tron ou CELL")+OR(AND(ROW(K31)&gt;=39,ROW(K31)&lt;=68),AND(ROW(K31)&gt;=99,ROW(K31)&lt;=128)),
N("2 Pas de système scanopy and range opy")+AND(ROW(K31)&gt;=219,ROW(K31)&lt;=248,SCANOPY_N_System&lt;2),
N("3 Avec LC")&amp;IF(ISERROR(LEFT(J30,SEARCH("00",J30)-3)),"",LEFT(J30,SEARCH("00",J30)-3))="LC"),"","☐ ")
&amp;
IF(N("If it's OPY, put OMount Manual instead")+
AND(ROW(J31)&gt;=219,ROW(J31)&lt;=248),
IF(SCANOPY_N_System&gt;1,"OMount Man",""),
IF(N("If it is Cell or Tron, Do not Show Scanner related items")+OR(
AND(ROW(K31)&gt;=39,ROW(K31)&lt;=68),
AND(ROW(K31)&gt;=99,ROW(K31)&lt;=128)),
    "", IF(1=N("Si système a un scanner différent du Scanner populaire alors différent, sinon Scanner populaire")+AND(NOT(ISERROR(SEARCH("System",J30))),LEFT(J30,2)&lt;&gt;LEFT(PROD_MostPopularScanner,2)),
LEFT(J30,SEARCH("00",J30)-3),
PROD_MostPopularScanner) &amp; " Install Man"))</f>
        <v>☐ Scan. Install Man</v>
      </c>
      <c r="F32" s="509" t="s">
        <v>285</v>
      </c>
      <c r="G32" s="395" t="s">
        <v>284</v>
      </c>
      <c r="H32" s="572" t="s">
        <v>260</v>
      </c>
      <c r="I32" s="510"/>
      <c r="J32" s="395" t="s">
        <v>160</v>
      </c>
      <c r="K32" s="353"/>
      <c r="L32" s="572" t="s">
        <v>734</v>
      </c>
      <c r="M32" s="395"/>
      <c r="N32" s="509"/>
      <c r="O32" s="395"/>
      <c r="P32" s="302"/>
      <c r="Q32" s="302"/>
    </row>
    <row r="33" spans="1:17" ht="16.25" customHeight="1" x14ac:dyDescent="0.2">
      <c r="A33" s="548"/>
      <c r="B33" s="378"/>
      <c r="C33" s="831" t="str">
        <f>IF((DENDRO_N_UpgradeUpdate + DENDRO_N_Software ) = 2,"",LEFT(INDEX(DENDRO_SoftwareFullNames,DENDRO_IndexSoftware),FIND(" ",INDEX(DENDRO_SoftwareFullNames,DENDRO_IndexSoftware),FIND(" ",INDEX(DENDRO_SoftwareFullNames,DENDRO_IndexSoftware))+1)) &amp;
DENDRO_YearMostRecent )</f>
        <v/>
      </c>
      <c r="D33" s="831"/>
      <c r="E33" s="503"/>
      <c r="F33" s="386"/>
      <c r="G33" s="357" t="str">
        <f>IF(DENDRO_OptionXL*(DENDRO_N_Software+DENDRO_N_UpgradeUpdate-2)&gt;=((ROW(G33)-ROW($G$9))/4+1),"XLSTEM "&amp; DENDRO_YearMostRecent,"")</f>
        <v/>
      </c>
      <c r="H33" s="313"/>
      <c r="I33" s="313"/>
      <c r="J33" s="357" t="str">
        <f>IF(DENDRO_N_System-1&gt;=((ROW(G33)-ROW($G$9))/4+1),IF(DENDRO_IndexScanner=1,"STD4800","LA2400") &amp; " System"&amp; IF(AND(DENDRO_ClientWithOrWithoutScanner=2,DENDRO_N_System&gt;1)," Sans Scanner"," Avec Scanner"),
IF(AND(DENDRO_N_Software&gt;DENDRO_N_System,DENDRO_N_Software-1&gt;((ROW(G33)-ROW($G$9))/4+1)),IF(N_SystemTotal=0,"Software Only",IF(N_STDScanners+N_LAScanners+N_LCScanners=0,"Software Sans Scanner","Software Avec Scanner")),
IF(DENDRO_N_UpgradeUpdate-1&gt;=((ROW(G33)-ROW($G$9))/4+1)-(MAX(DENDRO_N_System,DENDRO_N_Software)-1),"Update","")))</f>
        <v/>
      </c>
      <c r="K33" s="313"/>
      <c r="L33" s="306"/>
      <c r="M33" s="307"/>
      <c r="N33" s="306"/>
      <c r="O33" s="506"/>
      <c r="P33" s="302"/>
      <c r="Q33" s="302"/>
    </row>
    <row r="34" spans="1:17" ht="24" customHeight="1" x14ac:dyDescent="0.2">
      <c r="A34" s="560" t="s">
        <v>268</v>
      </c>
      <c r="B34" s="375" t="s">
        <v>268</v>
      </c>
      <c r="C34" s="507" t="str">
        <f>"☐☐ Win" &amp;
IF(INT((ROW(D34)-10)/30)+1=1,"DEN","")&amp;
IF(INT((ROW(D34)-10)/30)+1=2,"CEL","")&amp;
IF(INT((ROW(D34)-10)/30)+1=3,"RHI","")&amp;
IF(INT((ROW(D34)-10)/30)+1=4,"RT","")&amp;
IF(INT((ROW(D34)-10)/30)+1=5,"FOL","")&amp;
IF(INT((ROW(D34)-10)/30)+1=6,"SEE","")&amp;
IF(INT((ROW(D34)-10)/30)+1=7,"CAM","")&amp;
IF(INT((ROW(D34)-10)/30)+1=8,"SCA","") &amp; ".exe"</f>
        <v>☐☐ WinDEN.exe</v>
      </c>
      <c r="D34" s="507" t="str">
        <f xml:space="preserve"> IF(N("If it is Cam, Do not Show XL")+AND(ROW(D34)&gt;=189,ROW(D34)&lt;=218),"","☐ XL" &amp;
IF(INT((ROW(D34)-10)/30)+1=1,"STEM","")&amp;
IF(INT((ROW(D34)-10)/30)+1=2,"Cell","")&amp;
IF(INT((ROW(D34)-10)/30)+1=3,"Rhizo","")&amp;
IF(INT((ROW(D34)-10)/30)+1=4,"RhizoT","")&amp;
IF(INT((ROW(D34)-10)/30)+1=5,"Folia","")&amp;
IF(INT((ROW(D34)-10)/30)+1=6,"Seedle","")&amp;
IF(INT((ROW(D34)-10)/30)+1=7,"Cam","")&amp;
IF(INT((ROW(D34)-10)/30)+1=8,"Scanopy","") &amp; ".xls")</f>
        <v>☐ XLSTEM.xls</v>
      </c>
      <c r="E34" s="507" t="s">
        <v>309</v>
      </c>
      <c r="F34" s="508" t="s">
        <v>159</v>
      </c>
      <c r="G34" s="507" t="str">
        <f xml:space="preserve"> IF(N("If it is Cam, Do not Show XL")+AND(ROW(G34)&gt;=189,ROW(G34)&lt;=218),"","☐ XL Man")</f>
        <v>☐ XL Man</v>
      </c>
      <c r="H34" s="508" t="s">
        <v>290</v>
      </c>
      <c r="I34" s="395" t="s">
        <v>284</v>
      </c>
      <c r="J34" s="508" t="str">
        <f>IF(N("Si OR dessous = vrai, pas de box")+OR(
N("1 OR Tron ou CELL")+OR(AND(ROW(E34)&gt;=39,ROW(E34)&lt;=68),AND(ROW(E34)&gt;=99,ROW(E34)&lt;=128)),
N("2 Pas de système scanopy and range opy")+AND(ROW(E34)&gt;=219,ROW(E34)&lt;=248,SCANOPY_N_System&lt;2),
N("3 Avec LC")&amp;IF(ISERROR(LEFT(D33,SEARCH("00",D33)-3)),"",LEFT(D33,SEARCH("00",D33)-3))="LC"),"","☐ ")
&amp;
IF(N("If it's OPY, put OMount Manual instead")+
AND(ROW(D34)&gt;=219,ROW(D34)&lt;=248),
IF(SCANOPY_N_System&gt;1,
IF(SCANOPY_IndexScanner=1,"α" &amp; SCANOPY_CameraModel,SCANOPY_CameraModel_Mini) &amp; " Man",""),
IF(N("If it is Cell or Tron, Do not Show Scanner related items+No Video if LC")+OR(
AND(ROW(E34)&gt;=39,ROW(E34)&lt;=68),
AND(ROW(E34)&gt;=99,ROW(E34)&lt;=128)),
    "", IF(1=N("Si système a un scanner différent du Scanner populaire alors différent, sinon Scanner populaire")+AND(NOT(ISERROR(SEARCH("System",D33))),LEFT(D33,2)&lt;&gt;LEFT(PROD_MostPopularScanner,2)),
LEFT(D33,SEARCH("00",D33)-3),
PROD_MostPopularScanner) &amp; " Install Man"))</f>
        <v>☐ Scan. Install Man</v>
      </c>
      <c r="K34" s="507" t="str">
        <f>IF(N("If it is Cell or Tron or OPY, Do not Show Twain")+OR(AND(ROW(K34)&gt;=39,ROW(K34)&lt;=68),AND(ROW(K34)&gt;=99,ROW(K34)&lt;=128),AND(ROW(J34)&gt;=219,ROW(J34)&lt;=248)),"","☐ TWAIN")</f>
        <v>☐ TWAIN</v>
      </c>
      <c r="L34" s="508" t="str">
        <f>IF(N("Si OR dessous = vrai, pas de box")+OR(
N("1 OR Dendro+CELL, Tron+Folia,Cam")+OR(
AND(ROW(K34)&gt;=9,ROW(K34)&lt;=68),
AND(ROW(K34)&gt;=99,ROW(K34)&lt;=158),
AND(ROW(K34)&gt;=189,ROW(K34)&lt;=218)),
N("2 Pas de système scanopy and range opy")+AND(ROW(K34)&gt;=219,ROW(K34)&lt;=248,SCANOPY_N_System&lt;2),
N("3 Avec LC")&amp;IF(ISERROR(LEFT(J33,SEARCH("00",J33)-3)),"",LEFT(J33,SEARCH("00",J33)-3))="LC"),"","☐ ")
&amp;
IF(N("If it's OPY, put OMount Manual instead")+
AND(ROW(J34)&gt;=219,ROW(J34)&lt;=248),
IF(SCANOPY_N_System&gt;1,"OMount Man",""),
IF(N("If it is Dendro+CELL, Tron+Folia or Cam, Do not Show Scanner related items+No Video if LC")+OR(
AND(ROW(K34)&gt;=9,ROW(K34)&lt;=68),
AND(ROW(K34)&gt;=99,ROW(K34)&lt;=158),
AND(ROW(K34)&gt;=189,ROW(K34)&lt;=218),
IF(ISERROR(LEFT(J33,SEARCH("00",J33)-3)),"",LEFT(J33,SEARCH("00",J33)-3))="LC"),
    "", "Video " &amp; IF(1=N("Si système a un scanner différent du Scanner populaire alors différent, sinon Scanner populaire")+AND(NOT(ISERROR(SEARCH("System",J33))),LEFT(J33,2)&lt;&gt;LEFT(PROD_MostPopularScanner,2)),
LEFT(J33,SEARCH("00",J33)-3),
PROD_MostPopularScanner) &amp; " Install"))</f>
        <v/>
      </c>
      <c r="M34" s="507" t="str">
        <f>IF(N("If it is Dendro or Tron, Do not Show Color Analysis Video")+
OR(AND(ROW(L34)&gt;=9,ROW(L34)&lt;=38),
AND(ROW(L34)&gt;=99,ROW(L34)&lt;=128)), "","☐ Video ClrAna")</f>
        <v/>
      </c>
      <c r="N34" s="508" t="str">
        <f>IF(OR(INT((ROW(D34)-10)/30)+1=2,INT((ROW(D34)-10)/30)+1=4),"","☐ ")&amp;
IF(INT((ROW(D34)-10)/30)+1=1,"Scanner.cal","")&amp;
IF(INT((ROW(D34)-10)/30)+1=2,"","")&amp;
IF(INT((ROW(D34)-10)/30)+1=3,"Scanner.cal","")&amp;
IF(INT((ROW(D34)-10)/30)+1=4,"","")&amp;
IF(INT((ROW(D34)-10)/30)+1=5,"Scanner.cal","")&amp;
IF(INT((ROW(D34)-10)/30)+1=6,"Scanner.cal","")&amp;
IF(INT((ROW(D34)-10)/30)+1=7,"Scanner.cal","")&amp;
IF(INT((ROW(D34)-10)/30)+1=8,IF(SCANOPY_Camera, "Indiv", "Gen")&amp; " Lens.cal","")</f>
        <v>☐ Scanner.cal</v>
      </c>
      <c r="O34" s="395" t="str">
        <f>IF(AND(ROW(L34)&gt;=9,ROW(L34)&lt;=38),"☐ RegentTarget.blu","")</f>
        <v>☐ RegentTarget.blu</v>
      </c>
      <c r="P34" s="302"/>
      <c r="Q34" s="302"/>
    </row>
    <row r="35" spans="1:17" ht="24" customHeight="1" x14ac:dyDescent="0.2">
      <c r="A35" s="560" t="s">
        <v>269</v>
      </c>
      <c r="B35" s="311" t="s">
        <v>269</v>
      </c>
      <c r="C35" s="395" t="s">
        <v>159</v>
      </c>
      <c r="D35" s="395" t="str">
        <f xml:space="preserve"> IF(N("If it is Cam, Do not Show XL")+AND(ROW(D35)&gt;=189,ROW(D35)&lt;=218),"","☐ XL Man")</f>
        <v>☐ XL Man</v>
      </c>
      <c r="E35" s="570" t="str">
        <f>IF(N("Si OR dessous = vrai, pas de box")+OR(
N("1 OR Tron ou CELL")+OR(AND(ROW(K34)&gt;=39,ROW(K34)&lt;=68),AND(ROW(K34)&gt;=99,ROW(K34)&lt;=128)),
N("2 Pas de système scanopy and range opy")+AND(ROW(K34)&gt;=219,ROW(K34)&lt;=248,SCANOPY_N_System&lt;2),
N("3 Avec LC")&amp;IF(ISERROR(LEFT(J33,SEARCH("00",J33)-3)),"",LEFT(J33,SEARCH("00",J33)-3))="LC"),"","☐ ")
&amp;
IF(N("If it's OPY, put OMount Manual instead")+
AND(ROW(J34)&gt;=219,ROW(J34)&lt;=248),
IF(SCANOPY_N_System&gt;1,"OMount Man",""),
IF(N("If it is Cell or Tron, Do not Show Scanner related items")+OR(
AND(ROW(K34)&gt;=39,ROW(K34)&lt;=68),
AND(ROW(K34)&gt;=99,ROW(K34)&lt;=128)),
    "", IF(1=N("Si système a un scanner différent du Scanner populaire alors différent, sinon Scanner populaire")+AND(NOT(ISERROR(SEARCH("System",J33))),LEFT(J33,2)&lt;&gt;LEFT(PROD_MostPopularScanner,2)),
LEFT(J33,SEARCH("00",J33)-3),
PROD_MostPopularScanner) &amp; " Install Man"))</f>
        <v>☐ Scan. Install Man</v>
      </c>
      <c r="F35" s="509" t="s">
        <v>285</v>
      </c>
      <c r="G35" s="395" t="s">
        <v>284</v>
      </c>
      <c r="H35" s="572" t="s">
        <v>260</v>
      </c>
      <c r="I35" s="510"/>
      <c r="J35" s="395" t="s">
        <v>160</v>
      </c>
      <c r="K35" s="353"/>
      <c r="L35" s="572" t="s">
        <v>734</v>
      </c>
      <c r="M35" s="395"/>
      <c r="N35" s="509"/>
      <c r="O35" s="395"/>
      <c r="P35" s="302"/>
      <c r="Q35" s="302"/>
    </row>
    <row r="36" spans="1:17" ht="16.25" customHeight="1" x14ac:dyDescent="0.2">
      <c r="A36" s="548"/>
      <c r="B36" s="378"/>
      <c r="C36" s="831" t="str">
        <f>IF((DENDRO_N_UpgradeUpdate + DENDRO_N_Software ) = 2,"",LEFT(INDEX(DENDRO_SoftwareFullNames,DENDRO_IndexSoftware),FIND(" ",INDEX(DENDRO_SoftwareFullNames,DENDRO_IndexSoftware),FIND(" ",INDEX(DENDRO_SoftwareFullNames,DENDRO_IndexSoftware))+1)) &amp;
DENDRO_YearMostRecent )</f>
        <v/>
      </c>
      <c r="D36" s="831"/>
      <c r="E36" s="503"/>
      <c r="F36" s="386"/>
      <c r="G36" s="357" t="str">
        <f>IF(DENDRO_OptionXL*(DENDRO_N_Software+DENDRO_N_UpgradeUpdate-2)&gt;=((ROW(G36)-ROW($G$9))/4+1),"XLSTEM "&amp; DENDRO_YearMostRecent,"")</f>
        <v/>
      </c>
      <c r="H36" s="313"/>
      <c r="I36" s="313"/>
      <c r="J36" s="357" t="str">
        <f>IF(DENDRO_N_System-1&gt;=((ROW(G36)-ROW($G$9))/4+1),IF(DENDRO_IndexScanner=1,"STD4800","LA2400") &amp; " System"&amp; IF(AND(DENDRO_ClientWithOrWithoutScanner=2,DENDRO_N_System&gt;1)," Sans Scanner"," Avec Scanner"),
IF(AND(DENDRO_N_Software&gt;DENDRO_N_System,DENDRO_N_Software-1&gt;((ROW(G36)-ROW($G$9))/4+1)),IF(N_SystemTotal=0,"Software Only",IF(N_STDScanners+N_LAScanners+N_LCScanners=0,"Software Sans Scanner","Software Avec Scanner")),
IF(DENDRO_N_UpgradeUpdate-1&gt;=((ROW(G36)-ROW($G$9))/4+1)-(MAX(DENDRO_N_System,DENDRO_N_Software)-1),"Update","")))</f>
        <v/>
      </c>
      <c r="K36" s="313"/>
      <c r="L36" s="306"/>
      <c r="M36" s="307"/>
      <c r="N36" s="306"/>
      <c r="O36" s="506"/>
      <c r="P36" s="302"/>
      <c r="Q36" s="302"/>
    </row>
    <row r="37" spans="1:17" ht="24" customHeight="1" x14ac:dyDescent="0.2">
      <c r="A37" s="560" t="s">
        <v>268</v>
      </c>
      <c r="B37" s="375" t="s">
        <v>268</v>
      </c>
      <c r="C37" s="507" t="str">
        <f>"☐☐ Win" &amp;
IF(INT((ROW(D37)-10)/30)+1=1,"DEN","")&amp;
IF(INT((ROW(D37)-10)/30)+1=2,"CEL","")&amp;
IF(INT((ROW(D37)-10)/30)+1=3,"RHI","")&amp;
IF(INT((ROW(D37)-10)/30)+1=4,"RT","")&amp;
IF(INT((ROW(D37)-10)/30)+1=5,"FOL","")&amp;
IF(INT((ROW(D37)-10)/30)+1=6,"SEE","")&amp;
IF(INT((ROW(D37)-10)/30)+1=7,"CAM","")&amp;
IF(INT((ROW(D37)-10)/30)+1=8,"SCA","") &amp; ".exe"</f>
        <v>☐☐ WinDEN.exe</v>
      </c>
      <c r="D37" s="507" t="str">
        <f xml:space="preserve"> IF(N("If it is Cam, Do not Show XL")+AND(ROW(D37)&gt;=189,ROW(D37)&lt;=218),"","☐ XL" &amp;
IF(INT((ROW(D37)-10)/30)+1=1,"STEM","")&amp;
IF(INT((ROW(D37)-10)/30)+1=2,"Cell","")&amp;
IF(INT((ROW(D37)-10)/30)+1=3,"Rhizo","")&amp;
IF(INT((ROW(D37)-10)/30)+1=4,"RhizoT","")&amp;
IF(INT((ROW(D37)-10)/30)+1=5,"Folia","")&amp;
IF(INT((ROW(D37)-10)/30)+1=6,"Seedle","")&amp;
IF(INT((ROW(D37)-10)/30)+1=7,"Cam","")&amp;
IF(INT((ROW(D37)-10)/30)+1=8,"Scanopy","") &amp; ".xls")</f>
        <v>☐ XLSTEM.xls</v>
      </c>
      <c r="E37" s="507" t="s">
        <v>309</v>
      </c>
      <c r="F37" s="508" t="s">
        <v>159</v>
      </c>
      <c r="G37" s="507" t="str">
        <f xml:space="preserve"> IF(N("If it is Cam, Do not Show XL")+AND(ROW(G37)&gt;=189,ROW(G37)&lt;=218),"","☐ XL Man")</f>
        <v>☐ XL Man</v>
      </c>
      <c r="H37" s="508" t="s">
        <v>290</v>
      </c>
      <c r="I37" s="395" t="s">
        <v>284</v>
      </c>
      <c r="J37" s="508" t="str">
        <f>IF(N("Si OR dessous = vrai, pas de box")+OR(
N("1 OR Tron ou CELL")+OR(AND(ROW(E37)&gt;=39,ROW(E37)&lt;=68),AND(ROW(E37)&gt;=99,ROW(E37)&lt;=128)),
N("2 Pas de système scanopy and range opy")+AND(ROW(E37)&gt;=219,ROW(E37)&lt;=248,SCANOPY_N_System&lt;2),
N("3 Avec LC")&amp;IF(ISERROR(LEFT(D36,SEARCH("00",D36)-3)),"",LEFT(D36,SEARCH("00",D36)-3))="LC"),"","☐ ")
&amp;
IF(N("If it's OPY, put OMount Manual instead")+
AND(ROW(D37)&gt;=219,ROW(D37)&lt;=248),
IF(SCANOPY_N_System&gt;1,
IF(SCANOPY_IndexScanner=1,"α" &amp; SCANOPY_CameraModel,SCANOPY_CameraModel_Mini) &amp; " Man",""),
IF(N("If it is Cell or Tron, Do not Show Scanner related items+No Video if LC")+OR(
AND(ROW(E37)&gt;=39,ROW(E37)&lt;=68),
AND(ROW(E37)&gt;=99,ROW(E37)&lt;=128)),
    "", IF(1=N("Si système a un scanner différent du Scanner populaire alors différent, sinon Scanner populaire")+AND(NOT(ISERROR(SEARCH("System",D36))),LEFT(D36,2)&lt;&gt;LEFT(PROD_MostPopularScanner,2)),
LEFT(D36,SEARCH("00",D36)-3),
PROD_MostPopularScanner) &amp; " Install Man"))</f>
        <v>☐ Scan. Install Man</v>
      </c>
      <c r="K37" s="507" t="str">
        <f>IF(N("If it is Cell or Tron or OPY, Do not Show Twain")+OR(AND(ROW(K37)&gt;=39,ROW(K37)&lt;=68),AND(ROW(K37)&gt;=99,ROW(K37)&lt;=128),AND(ROW(J37)&gt;=219,ROW(J37)&lt;=248)),"","☐ TWAIN")</f>
        <v>☐ TWAIN</v>
      </c>
      <c r="L37" s="508" t="str">
        <f>IF(N("Si OR dessous = vrai, pas de box")+OR(
N("1 OR Dendro+CELL, Tron+Folia,Cam")+OR(
AND(ROW(K37)&gt;=9,ROW(K37)&lt;=68),
AND(ROW(K37)&gt;=99,ROW(K37)&lt;=158),
AND(ROW(K37)&gt;=189,ROW(K37)&lt;=218)),
N("2 Pas de système scanopy and range opy")+AND(ROW(K37)&gt;=219,ROW(K37)&lt;=248,SCANOPY_N_System&lt;2),
N("3 Avec LC")&amp;IF(ISERROR(LEFT(J36,SEARCH("00",J36)-3)),"",LEFT(J36,SEARCH("00",J36)-3))="LC"),"","☐ ")
&amp;
IF(N("If it's OPY, put OMount Manual instead")+
AND(ROW(J37)&gt;=219,ROW(J37)&lt;=248),
IF(SCANOPY_N_System&gt;1,"OMount Man",""),
IF(N("If it is Dendro+CELL, Tron+Folia or Cam, Do not Show Scanner related items+No Video if LC")+OR(
AND(ROW(K37)&gt;=9,ROW(K37)&lt;=68),
AND(ROW(K37)&gt;=99,ROW(K37)&lt;=158),
AND(ROW(K37)&gt;=189,ROW(K37)&lt;=218),
IF(ISERROR(LEFT(J36,SEARCH("00",J36)-3)),"",LEFT(J36,SEARCH("00",J36)-3))="LC"),
    "", "Video " &amp; IF(1=N("Si système a un scanner différent du Scanner populaire alors différent, sinon Scanner populaire")+AND(NOT(ISERROR(SEARCH("System",J36))),LEFT(J36,2)&lt;&gt;LEFT(PROD_MostPopularScanner,2)),
LEFT(J36,SEARCH("00",J36)-3),
PROD_MostPopularScanner) &amp; " Install"))</f>
        <v/>
      </c>
      <c r="M37" s="507" t="str">
        <f>IF(N("If it is Dendro or Tron, Do not Show Color Analysis Video")+
OR(AND(ROW(L37)&gt;=9,ROW(L37)&lt;=38),
AND(ROW(L37)&gt;=99,ROW(L37)&lt;=128)), "","☐ Video ClrAna")</f>
        <v/>
      </c>
      <c r="N37" s="508" t="str">
        <f>IF(OR(INT((ROW(D37)-10)/30)+1=2,INT((ROW(D37)-10)/30)+1=4),"","☐ ")&amp;
IF(INT((ROW(D37)-10)/30)+1=1,"Scanner.cal","")&amp;
IF(INT((ROW(D37)-10)/30)+1=2,"","")&amp;
IF(INT((ROW(D37)-10)/30)+1=3,"Scanner.cal","")&amp;
IF(INT((ROW(D37)-10)/30)+1=4,"","")&amp;
IF(INT((ROW(D37)-10)/30)+1=5,"Scanner.cal","")&amp;
IF(INT((ROW(D37)-10)/30)+1=6,"Scanner.cal","")&amp;
IF(INT((ROW(D37)-10)/30)+1=7,"Scanner.cal","")&amp;
IF(INT((ROW(D37)-10)/30)+1=8,IF(SCANOPY_Camera, "Indiv", "Gen")&amp; " Lens.cal","")</f>
        <v>☐ Scanner.cal</v>
      </c>
      <c r="O37" s="395" t="str">
        <f>IF(AND(ROW(L37)&gt;=9,ROW(L37)&lt;=38),"☐ RegentTarget.blu","")</f>
        <v>☐ RegentTarget.blu</v>
      </c>
      <c r="P37" s="302"/>
      <c r="Q37" s="302"/>
    </row>
    <row r="38" spans="1:17" ht="24" customHeight="1" x14ac:dyDescent="0.2">
      <c r="A38" s="560" t="s">
        <v>269</v>
      </c>
      <c r="B38" s="311" t="s">
        <v>269</v>
      </c>
      <c r="C38" s="395" t="s">
        <v>159</v>
      </c>
      <c r="D38" s="395" t="str">
        <f xml:space="preserve"> IF(N("If it is Cam, Do not Show XL")+AND(ROW(D38)&gt;=189,ROW(D38)&lt;=218),"","☐ XL Man")</f>
        <v>☐ XL Man</v>
      </c>
      <c r="E38" s="570" t="str">
        <f>IF(N("Si OR dessous = vrai, pas de box")+OR(
N("1 OR Tron ou CELL")+OR(AND(ROW(K37)&gt;=39,ROW(K37)&lt;=68),AND(ROW(K37)&gt;=99,ROW(K37)&lt;=128)),
N("2 Pas de système scanopy and range opy")+AND(ROW(K37)&gt;=219,ROW(K37)&lt;=248,SCANOPY_N_System&lt;2),
N("3 Avec LC")&amp;IF(ISERROR(LEFT(J36,SEARCH("00",J36)-3)),"",LEFT(J36,SEARCH("00",J36)-3))="LC"),"","☐ ")
&amp;
IF(N("If it's OPY, put OMount Manual instead")+
AND(ROW(J37)&gt;=219,ROW(J37)&lt;=248),
IF(SCANOPY_N_System&gt;1,"OMount Man",""),
IF(N("If it is Cell or Tron, Do not Show Scanner related items")+OR(
AND(ROW(K37)&gt;=39,ROW(K37)&lt;=68),
AND(ROW(K37)&gt;=99,ROW(K37)&lt;=128)),
    "", IF(1=N("Si système a un scanner différent du Scanner populaire alors différent, sinon Scanner populaire")+AND(NOT(ISERROR(SEARCH("System",J36))),LEFT(J36,2)&lt;&gt;LEFT(PROD_MostPopularScanner,2)),
LEFT(J36,SEARCH("00",J36)-3),
PROD_MostPopularScanner) &amp; " Install Man"))</f>
        <v>☐ Scan. Install Man</v>
      </c>
      <c r="F38" s="509" t="s">
        <v>285</v>
      </c>
      <c r="G38" s="395" t="s">
        <v>284</v>
      </c>
      <c r="H38" s="572" t="s">
        <v>260</v>
      </c>
      <c r="I38" s="510"/>
      <c r="J38" s="395" t="s">
        <v>160</v>
      </c>
      <c r="K38" s="353"/>
      <c r="L38" s="572" t="s">
        <v>734</v>
      </c>
      <c r="M38" s="395"/>
      <c r="N38" s="509"/>
      <c r="O38" s="395"/>
      <c r="P38" s="302"/>
      <c r="Q38" s="302"/>
    </row>
    <row r="39" spans="1:17" ht="16.25" customHeight="1" x14ac:dyDescent="0.2">
      <c r="A39" s="549"/>
      <c r="B39" s="379"/>
      <c r="C39" s="830" t="str">
        <f>IF((CELL_N_UpgradeUpdate + CELL_N_Software ) = 2,"",LEFT(INDEX(CELL_SoftwareFullNames,CELL_IndexSoftware),FIND(" ",INDEX(CELL_SoftwareFullNames,CELL_IndexSoftware),FIND(" ",INDEX(CELL_SoftwareFullNames,CELL_IndexSoftware))+1)) &amp;
CELL_YearMostRecent )</f>
        <v/>
      </c>
      <c r="D39" s="830"/>
      <c r="E39" s="387"/>
      <c r="F39" s="387"/>
      <c r="G39" s="358" t="str">
        <f>IF(CELL_OptionXL*(CELL_N_Software+CELL_N_UpgradeUpdate-2)&gt;=((ROW(G39)-ROW($G$39))/4+1),"XLCELL "&amp; CELL_YearMostRecent,"")</f>
        <v/>
      </c>
      <c r="H39" s="314"/>
      <c r="I39" s="314"/>
      <c r="J39" s="358" t="str">
        <f>IF(CELL_N_Software-1&gt;=((ROW(G39)-ROW($G$39))/4+1),IF(N_SystemTotal=0,"Software Only",IF(N_STDScanners+N_LAScanners+N_LCScanners=0,"Software Sans Scanner","Software Avec Scanner")),
IF(CELL_N_UpgradeUpdate-1&gt;=((ROW(G39)-ROW($G$39))/4+1)-(CELL_N_Software-1),"Update",""))</f>
        <v/>
      </c>
      <c r="K39" s="314"/>
      <c r="L39" s="308"/>
      <c r="M39" s="308"/>
      <c r="N39" s="308"/>
      <c r="O39" s="506"/>
      <c r="P39" s="302"/>
      <c r="Q39" s="302"/>
    </row>
    <row r="40" spans="1:17" ht="24" customHeight="1" x14ac:dyDescent="0.2">
      <c r="A40" s="561" t="s">
        <v>268</v>
      </c>
      <c r="B40" s="375" t="s">
        <v>268</v>
      </c>
      <c r="C40" s="507" t="str">
        <f>"☐☐ Win" &amp;
IF(INT((ROW(D40)-10)/30)+1=1,"DEN","")&amp;
IF(INT((ROW(D40)-10)/30)+1=2,"CEL","")&amp;
IF(INT((ROW(D40)-10)/30)+1=3,"RHI","")&amp;
IF(INT((ROW(D40)-10)/30)+1=4,"RT","")&amp;
IF(INT((ROW(D40)-10)/30)+1=5,"FOL","")&amp;
IF(INT((ROW(D40)-10)/30)+1=6,"SEE","")&amp;
IF(INT((ROW(D40)-10)/30)+1=7,"CAM","")&amp;
IF(INT((ROW(D40)-10)/30)+1=8,"SCA","") &amp; ".exe"</f>
        <v>☐☐ WinCEL.exe</v>
      </c>
      <c r="D40" s="507" t="str">
        <f xml:space="preserve"> IF(N("If it is Cam, Do not Show XL")+AND(ROW(D40)&gt;=189,ROW(D40)&lt;=218),"","☐ XL" &amp;
IF(INT((ROW(D40)-10)/30)+1=1,"STEM","")&amp;
IF(INT((ROW(D40)-10)/30)+1=2,"Cell","")&amp;
IF(INT((ROW(D40)-10)/30)+1=3,"Rhizo","")&amp;
IF(INT((ROW(D40)-10)/30)+1=4,"RhizoT","")&amp;
IF(INT((ROW(D40)-10)/30)+1=5,"Folia","")&amp;
IF(INT((ROW(D40)-10)/30)+1=6,"Seedle","")&amp;
IF(INT((ROW(D40)-10)/30)+1=7,"Cam","")&amp;
IF(INT((ROW(D40)-10)/30)+1=8,"Scanopy","") &amp; ".xls")</f>
        <v>☐ XLCell.xls</v>
      </c>
      <c r="E40" s="507" t="s">
        <v>309</v>
      </c>
      <c r="F40" s="508" t="s">
        <v>159</v>
      </c>
      <c r="G40" s="507" t="str">
        <f xml:space="preserve"> IF(N("If it is Cam, Do not Show XL")+AND(ROW(G40)&gt;=189,ROW(G40)&lt;=218),"","☐ XL Man")</f>
        <v>☐ XL Man</v>
      </c>
      <c r="H40" s="508" t="s">
        <v>290</v>
      </c>
      <c r="I40" s="395" t="s">
        <v>284</v>
      </c>
      <c r="J40" s="508" t="str">
        <f>IF(N("Si OR dessous = vrai, pas de box")+OR(
N("1 OR Tron ou CELL")+OR(AND(ROW(E40)&gt;=39,ROW(E40)&lt;=68),AND(ROW(E40)&gt;=99,ROW(E40)&lt;=128)),
N("2 Pas de système scanopy and range opy")+AND(ROW(E40)&gt;=219,ROW(E40)&lt;=248,SCANOPY_N_System&lt;2),
N("3 Avec LC")&amp;IF(ISERROR(LEFT(D39,SEARCH("00",D39)-3)),"",LEFT(D39,SEARCH("00",D39)-3))="LC"),"","☐ ")
&amp;
IF(N("If it's OPY, put OMount Manual instead")+
AND(ROW(D40)&gt;=219,ROW(D40)&lt;=248),
IF(SCANOPY_N_System&gt;1,
IF(SCANOPY_IndexScanner=1,"α" &amp; SCANOPY_CameraModel,SCANOPY_CameraModel_Mini) &amp; " Man",""),
IF(N("If it is Cell or Tron, Do not Show Scanner related items+No Video if LC")+OR(
AND(ROW(E40)&gt;=39,ROW(E40)&lt;=68),
AND(ROW(E40)&gt;=99,ROW(E40)&lt;=128)),
    "", IF(1=N("Si système a un scanner différent du Scanner populaire alors différent, sinon Scanner populaire")+AND(NOT(ISERROR(SEARCH("System",D39))),LEFT(D39,2)&lt;&gt;LEFT(PROD_MostPopularScanner,2)),
LEFT(D39,SEARCH("00",D39)-3),
PROD_MostPopularScanner) &amp; " Install Man"))</f>
        <v/>
      </c>
      <c r="K40" s="507" t="str">
        <f>IF(N("If it is Cell or Tron or OPY, Do not Show Twain")+OR(AND(ROW(K40)&gt;=39,ROW(K40)&lt;=68),AND(ROW(K40)&gt;=99,ROW(K40)&lt;=128),AND(ROW(J40)&gt;=219,ROW(J40)&lt;=248)),"","☐ TWAIN")</f>
        <v/>
      </c>
      <c r="L40" s="508" t="str">
        <f>IF(N("Si OR dessous = vrai, pas de box")+OR(
N("1 OR Dendro+CELL, Tron+Folia,Cam")+OR(
AND(ROW(K40)&gt;=9,ROW(K40)&lt;=68),
AND(ROW(K40)&gt;=99,ROW(K40)&lt;=158),
AND(ROW(K40)&gt;=189,ROW(K40)&lt;=218)),
N("2 Pas de système scanopy and range opy")+AND(ROW(K40)&gt;=219,ROW(K40)&lt;=248,SCANOPY_N_System&lt;2),
N("3 Avec LC")&amp;IF(ISERROR(LEFT(J39,SEARCH("00",J39)-3)),"",LEFT(J39,SEARCH("00",J39)-3))="LC"),"","☐ ")
&amp;
IF(N("If it's OPY, put OMount Manual instead")+
AND(ROW(J40)&gt;=219,ROW(J40)&lt;=248),
IF(SCANOPY_N_System&gt;1,"OMount Man",""),
IF(N("If it is Dendro+CELL, Tron+Folia or Cam, Do not Show Scanner related items+No Video if LC")+OR(
AND(ROW(K40)&gt;=9,ROW(K40)&lt;=68),
AND(ROW(K40)&gt;=99,ROW(K40)&lt;=158),
AND(ROW(K40)&gt;=189,ROW(K40)&lt;=218),
IF(ISERROR(LEFT(J39,SEARCH("00",J39)-3)),"",LEFT(J39,SEARCH("00",J39)-3))="LC"),
    "", "Video " &amp; IF(1=N("Si système a un scanner différent du Scanner populaire alors différent, sinon Scanner populaire")+AND(NOT(ISERROR(SEARCH("System",J39))),LEFT(J39,2)&lt;&gt;LEFT(PROD_MostPopularScanner,2)),
LEFT(J39,SEARCH("00",J39)-3),
PROD_MostPopularScanner) &amp; " Install"))</f>
        <v/>
      </c>
      <c r="M40" s="507" t="str">
        <f>IF(N("If it is Dendro or Tron, Do not Show Color Analysis Video")+
OR(AND(ROW(L40)&gt;=9,ROW(L40)&lt;=38),
AND(ROW(L40)&gt;=99,ROW(L40)&lt;=128)), "","☐ Video ClrAna")</f>
        <v>☐ Video ClrAna</v>
      </c>
      <c r="N40" s="508" t="str">
        <f>IF(OR(INT((ROW(D40)-10)/30)+1=2,INT((ROW(D40)-10)/30)+1=4),"","☐ ")&amp;
IF(INT((ROW(D40)-10)/30)+1=1,"Scanner.cal","")&amp;
IF(INT((ROW(D40)-10)/30)+1=2,"","")&amp;
IF(INT((ROW(D40)-10)/30)+1=3,"Scanner.cal","")&amp;
IF(INT((ROW(D40)-10)/30)+1=4,"","")&amp;
IF(INT((ROW(D40)-10)/30)+1=5,"Scanner.cal","")&amp;
IF(INT((ROW(D40)-10)/30)+1=6,"Scanner.cal","")&amp;
IF(INT((ROW(D40)-10)/30)+1=7,"Scanner.cal","")&amp;
IF(INT((ROW(D40)-10)/30)+1=8,IF(SCANOPY_Camera, "Indiv", "Gen")&amp; " Lens.cal","")</f>
        <v/>
      </c>
      <c r="O40" s="395" t="str">
        <f>IF(AND(ROW(L40)&gt;=9,ROW(L40)&lt;=38),"☐ RegentTarget.blu","")</f>
        <v/>
      </c>
      <c r="P40" s="302"/>
      <c r="Q40" s="302"/>
    </row>
    <row r="41" spans="1:17" ht="24" customHeight="1" x14ac:dyDescent="0.2">
      <c r="A41" s="561" t="s">
        <v>269</v>
      </c>
      <c r="B41" s="311" t="s">
        <v>269</v>
      </c>
      <c r="C41" s="395" t="s">
        <v>159</v>
      </c>
      <c r="D41" s="395" t="str">
        <f xml:space="preserve"> IF(N("If it is Cam, Do not Show XL")+AND(ROW(D41)&gt;=189,ROW(D41)&lt;=218),"","☐ XL Man")</f>
        <v>☐ XL Man</v>
      </c>
      <c r="E41" s="570" t="str">
        <f>IF(N("Si OR dessous = vrai, pas de box")+OR(
N("1 OR Tron ou CELL")+OR(AND(ROW(K40)&gt;=39,ROW(K40)&lt;=68),AND(ROW(K40)&gt;=99,ROW(K40)&lt;=128)),
N("2 Pas de système scanopy and range opy")+AND(ROW(K40)&gt;=219,ROW(K40)&lt;=248,SCANOPY_N_System&lt;2),
N("3 Avec LC")&amp;IF(ISERROR(LEFT(J39,SEARCH("00",J39)-3)),"",LEFT(J39,SEARCH("00",J39)-3))="LC"),"","☐ ")
&amp;
IF(N("If it's OPY, put OMount Manual instead")+
AND(ROW(J40)&gt;=219,ROW(J40)&lt;=248),
IF(SCANOPY_N_System&gt;1,"OMount Man",""),
IF(N("If it is Cell or Tron, Do not Show Scanner related items")+OR(
AND(ROW(K40)&gt;=39,ROW(K40)&lt;=68),
AND(ROW(K40)&gt;=99,ROW(K40)&lt;=128)),
    "", IF(1=N("Si système a un scanner différent du Scanner populaire alors différent, sinon Scanner populaire")+AND(NOT(ISERROR(SEARCH("System",J39))),LEFT(J39,2)&lt;&gt;LEFT(PROD_MostPopularScanner,2)),
LEFT(J39,SEARCH("00",J39)-3),
PROD_MostPopularScanner) &amp; " Install Man"))</f>
        <v/>
      </c>
      <c r="F41" s="509" t="s">
        <v>285</v>
      </c>
      <c r="G41" s="395" t="s">
        <v>284</v>
      </c>
      <c r="H41" s="572" t="s">
        <v>260</v>
      </c>
      <c r="I41" s="510"/>
      <c r="J41" s="395" t="s">
        <v>160</v>
      </c>
      <c r="K41" s="353"/>
      <c r="L41" s="572" t="s">
        <v>734</v>
      </c>
      <c r="M41" s="395"/>
      <c r="N41" s="509"/>
      <c r="O41" s="395"/>
      <c r="P41" s="302"/>
      <c r="Q41" s="302"/>
    </row>
    <row r="42" spans="1:17" ht="16.25" customHeight="1" x14ac:dyDescent="0.2">
      <c r="A42" s="549"/>
      <c r="B42" s="379"/>
      <c r="C42" s="830" t="str">
        <f>IF((CELL_N_UpgradeUpdate + CELL_N_Software ) = 2,"",LEFT(INDEX(CELL_SoftwareFullNames,CELL_IndexSoftware),FIND(" ",INDEX(CELL_SoftwareFullNames,CELL_IndexSoftware),FIND(" ",INDEX(CELL_SoftwareFullNames,CELL_IndexSoftware))+1)) &amp;
CELL_YearMostRecent )</f>
        <v/>
      </c>
      <c r="D42" s="830"/>
      <c r="E42" s="387"/>
      <c r="F42" s="387"/>
      <c r="G42" s="358" t="str">
        <f>IF(CELL_OptionXL*(CELL_N_Software+CELL_N_UpgradeUpdate-2)&gt;=((ROW(G42)-ROW($G$39))/4+1),"XLCELL "&amp; CELL_YearMostRecent,"")</f>
        <v/>
      </c>
      <c r="H42" s="314"/>
      <c r="I42" s="314"/>
      <c r="J42" s="358" t="str">
        <f>IF(CELL_N_Software-1&gt;=((ROW(G42)-ROW($G$39))/4+1),IF(N_SystemTotal=0,"Software Only",IF(N_STDScanners+N_LAScanners+N_LCScanners=0,"Software Sans Scanner","Software Avec Scanner")),
IF(CELL_N_UpgradeUpdate-1&gt;=((ROW(G42)-ROW($G$39))/4+1)-(CELL_N_Software-1),"Update",""))</f>
        <v/>
      </c>
      <c r="K42" s="314"/>
      <c r="L42" s="308"/>
      <c r="M42" s="308"/>
      <c r="N42" s="308"/>
      <c r="O42" s="506"/>
      <c r="P42" s="302"/>
      <c r="Q42" s="302"/>
    </row>
    <row r="43" spans="1:17" ht="24" customHeight="1" x14ac:dyDescent="0.2">
      <c r="A43" s="561" t="s">
        <v>268</v>
      </c>
      <c r="B43" s="375" t="s">
        <v>268</v>
      </c>
      <c r="C43" s="507" t="str">
        <f>"☐☐ Win" &amp;
IF(INT((ROW(D43)-10)/30)+1=1,"DEN","")&amp;
IF(INT((ROW(D43)-10)/30)+1=2,"CEL","")&amp;
IF(INT((ROW(D43)-10)/30)+1=3,"RHI","")&amp;
IF(INT((ROW(D43)-10)/30)+1=4,"RT","")&amp;
IF(INT((ROW(D43)-10)/30)+1=5,"FOL","")&amp;
IF(INT((ROW(D43)-10)/30)+1=6,"SEE","")&amp;
IF(INT((ROW(D43)-10)/30)+1=7,"CAM","")&amp;
IF(INT((ROW(D43)-10)/30)+1=8,"SCA","") &amp; ".exe"</f>
        <v>☐☐ WinCEL.exe</v>
      </c>
      <c r="D43" s="507" t="str">
        <f xml:space="preserve"> IF(N("If it is Cam, Do not Show XL")+AND(ROW(D43)&gt;=189,ROW(D43)&lt;=218),"","☐ XL" &amp;
IF(INT((ROW(D43)-10)/30)+1=1,"STEM","")&amp;
IF(INT((ROW(D43)-10)/30)+1=2,"Cell","")&amp;
IF(INT((ROW(D43)-10)/30)+1=3,"Rhizo","")&amp;
IF(INT((ROW(D43)-10)/30)+1=4,"RhizoT","")&amp;
IF(INT((ROW(D43)-10)/30)+1=5,"Folia","")&amp;
IF(INT((ROW(D43)-10)/30)+1=6,"Seedle","")&amp;
IF(INT((ROW(D43)-10)/30)+1=7,"Cam","")&amp;
IF(INT((ROW(D43)-10)/30)+1=8,"Scanopy","") &amp; ".xls")</f>
        <v>☐ XLCell.xls</v>
      </c>
      <c r="E43" s="507" t="s">
        <v>309</v>
      </c>
      <c r="F43" s="508" t="s">
        <v>159</v>
      </c>
      <c r="G43" s="507" t="str">
        <f xml:space="preserve"> IF(N("If it is Cam, Do not Show XL")+AND(ROW(G43)&gt;=189,ROW(G43)&lt;=218),"","☐ XL Man")</f>
        <v>☐ XL Man</v>
      </c>
      <c r="H43" s="508" t="s">
        <v>290</v>
      </c>
      <c r="I43" s="395" t="s">
        <v>284</v>
      </c>
      <c r="J43" s="508" t="str">
        <f>IF(N("Si OR dessous = vrai, pas de box")+OR(
N("1 OR Tron ou CELL")+OR(AND(ROW(E43)&gt;=39,ROW(E43)&lt;=68),AND(ROW(E43)&gt;=99,ROW(E43)&lt;=128)),
N("2 Pas de système scanopy and range opy")+AND(ROW(E43)&gt;=219,ROW(E43)&lt;=248,SCANOPY_N_System&lt;2),
N("3 Avec LC")&amp;IF(ISERROR(LEFT(D42,SEARCH("00",D42)-3)),"",LEFT(D42,SEARCH("00",D42)-3))="LC"),"","☐ ")
&amp;
IF(N("If it's OPY, put OMount Manual instead")+
AND(ROW(D43)&gt;=219,ROW(D43)&lt;=248),
IF(SCANOPY_N_System&gt;1,
IF(SCANOPY_IndexScanner=1,"α" &amp; SCANOPY_CameraModel,SCANOPY_CameraModel_Mini) &amp; " Man",""),
IF(N("If it is Cell or Tron, Do not Show Scanner related items+No Video if LC")+OR(
AND(ROW(E43)&gt;=39,ROW(E43)&lt;=68),
AND(ROW(E43)&gt;=99,ROW(E43)&lt;=128)),
    "", IF(1=N("Si système a un scanner différent du Scanner populaire alors différent, sinon Scanner populaire")+AND(NOT(ISERROR(SEARCH("System",D42))),LEFT(D42,2)&lt;&gt;LEFT(PROD_MostPopularScanner,2)),
LEFT(D42,SEARCH("00",D42)-3),
PROD_MostPopularScanner) &amp; " Install Man"))</f>
        <v/>
      </c>
      <c r="K43" s="507" t="str">
        <f>IF(N("If it is Cell or Tron or OPY, Do not Show Twain")+OR(AND(ROW(K43)&gt;=39,ROW(K43)&lt;=68),AND(ROW(K43)&gt;=99,ROW(K43)&lt;=128),AND(ROW(J43)&gt;=219,ROW(J43)&lt;=248)),"","☐ TWAIN")</f>
        <v/>
      </c>
      <c r="L43" s="508" t="str">
        <f>IF(N("Si OR dessous = vrai, pas de box")+OR(
N("1 OR Dendro+CELL, Tron+Folia,Cam")+OR(
AND(ROW(K43)&gt;=9,ROW(K43)&lt;=68),
AND(ROW(K43)&gt;=99,ROW(K43)&lt;=158),
AND(ROW(K43)&gt;=189,ROW(K43)&lt;=218)),
N("2 Pas de système scanopy and range opy")+AND(ROW(K43)&gt;=219,ROW(K43)&lt;=248,SCANOPY_N_System&lt;2),
N("3 Avec LC")&amp;IF(ISERROR(LEFT(J42,SEARCH("00",J42)-3)),"",LEFT(J42,SEARCH("00",J42)-3))="LC"),"","☐ ")
&amp;
IF(N("If it's OPY, put OMount Manual instead")+
AND(ROW(J43)&gt;=219,ROW(J43)&lt;=248),
IF(SCANOPY_N_System&gt;1,"OMount Man",""),
IF(N("If it is Dendro+CELL, Tron+Folia or Cam, Do not Show Scanner related items+No Video if LC")+OR(
AND(ROW(K43)&gt;=9,ROW(K43)&lt;=68),
AND(ROW(K43)&gt;=99,ROW(K43)&lt;=158),
AND(ROW(K43)&gt;=189,ROW(K43)&lt;=218),
IF(ISERROR(LEFT(J42,SEARCH("00",J42)-3)),"",LEFT(J42,SEARCH("00",J42)-3))="LC"),
    "", "Video " &amp; IF(1=N("Si système a un scanner différent du Scanner populaire alors différent, sinon Scanner populaire")+AND(NOT(ISERROR(SEARCH("System",J42))),LEFT(J42,2)&lt;&gt;LEFT(PROD_MostPopularScanner,2)),
LEFT(J42,SEARCH("00",J42)-3),
PROD_MostPopularScanner) &amp; " Install"))</f>
        <v/>
      </c>
      <c r="M43" s="507" t="str">
        <f>IF(N("If it is Dendro or Tron, Do not Show Color Analysis Video")+
OR(AND(ROW(L43)&gt;=9,ROW(L43)&lt;=38),
AND(ROW(L43)&gt;=99,ROW(L43)&lt;=128)), "","☐ Video ClrAna")</f>
        <v>☐ Video ClrAna</v>
      </c>
      <c r="N43" s="508" t="str">
        <f>IF(OR(INT((ROW(D43)-10)/30)+1=2,INT((ROW(D43)-10)/30)+1=4),"","☐ ")&amp;
IF(INT((ROW(D43)-10)/30)+1=1,"Scanner.cal","")&amp;
IF(INT((ROW(D43)-10)/30)+1=2,"","")&amp;
IF(INT((ROW(D43)-10)/30)+1=3,"Scanner.cal","")&amp;
IF(INT((ROW(D43)-10)/30)+1=4,"","")&amp;
IF(INT((ROW(D43)-10)/30)+1=5,"Scanner.cal","")&amp;
IF(INT((ROW(D43)-10)/30)+1=6,"Scanner.cal","")&amp;
IF(INT((ROW(D43)-10)/30)+1=7,"Scanner.cal","")&amp;
IF(INT((ROW(D43)-10)/30)+1=8,IF(SCANOPY_Camera, "Indiv", "Gen")&amp; " Lens.cal","")</f>
        <v/>
      </c>
      <c r="O43" s="395" t="str">
        <f>IF(AND(ROW(L43)&gt;=9,ROW(L43)&lt;=38),"☐ RegentTarget.blu","")</f>
        <v/>
      </c>
      <c r="P43" s="302"/>
      <c r="Q43" s="302"/>
    </row>
    <row r="44" spans="1:17" ht="24" customHeight="1" x14ac:dyDescent="0.2">
      <c r="A44" s="561" t="s">
        <v>269</v>
      </c>
      <c r="B44" s="311" t="s">
        <v>269</v>
      </c>
      <c r="C44" s="395" t="s">
        <v>159</v>
      </c>
      <c r="D44" s="395" t="str">
        <f xml:space="preserve"> IF(N("If it is Cam, Do not Show XL")+AND(ROW(D44)&gt;=189,ROW(D44)&lt;=218),"","☐ XL Man")</f>
        <v>☐ XL Man</v>
      </c>
      <c r="E44" s="570" t="str">
        <f>IF(N("Si OR dessous = vrai, pas de box")+OR(
N("1 OR Tron ou CELL")+OR(AND(ROW(K43)&gt;=39,ROW(K43)&lt;=68),AND(ROW(K43)&gt;=99,ROW(K43)&lt;=128)),
N("2 Pas de système scanopy and range opy")+AND(ROW(K43)&gt;=219,ROW(K43)&lt;=248,SCANOPY_N_System&lt;2),
N("3 Avec LC")&amp;IF(ISERROR(LEFT(J42,SEARCH("00",J42)-3)),"",LEFT(J42,SEARCH("00",J42)-3))="LC"),"","☐ ")
&amp;
IF(N("If it's OPY, put OMount Manual instead")+
AND(ROW(J43)&gt;=219,ROW(J43)&lt;=248),
IF(SCANOPY_N_System&gt;1,"OMount Man",""),
IF(N("If it is Cell or Tron, Do not Show Scanner related items")+OR(
AND(ROW(K43)&gt;=39,ROW(K43)&lt;=68),
AND(ROW(K43)&gt;=99,ROW(K43)&lt;=128)),
    "", IF(1=N("Si système a un scanner différent du Scanner populaire alors différent, sinon Scanner populaire")+AND(NOT(ISERROR(SEARCH("System",J42))),LEFT(J42,2)&lt;&gt;LEFT(PROD_MostPopularScanner,2)),
LEFT(J42,SEARCH("00",J42)-3),
PROD_MostPopularScanner) &amp; " Install Man"))</f>
        <v/>
      </c>
      <c r="F44" s="509" t="s">
        <v>285</v>
      </c>
      <c r="G44" s="395" t="s">
        <v>284</v>
      </c>
      <c r="H44" s="572" t="s">
        <v>260</v>
      </c>
      <c r="I44" s="510"/>
      <c r="J44" s="395" t="s">
        <v>160</v>
      </c>
      <c r="K44" s="353"/>
      <c r="L44" s="572" t="s">
        <v>734</v>
      </c>
      <c r="M44" s="395"/>
      <c r="N44" s="509"/>
      <c r="O44" s="395"/>
      <c r="P44" s="302"/>
      <c r="Q44" s="302"/>
    </row>
    <row r="45" spans="1:17" ht="16.25" customHeight="1" x14ac:dyDescent="0.2">
      <c r="A45" s="549"/>
      <c r="B45" s="379"/>
      <c r="C45" s="830" t="str">
        <f>IF((CELL_N_UpgradeUpdate + CELL_N_Software ) = 2,"",LEFT(INDEX(CELL_SoftwareFullNames,CELL_IndexSoftware),FIND(" ",INDEX(CELL_SoftwareFullNames,CELL_IndexSoftware),FIND(" ",INDEX(CELL_SoftwareFullNames,CELL_IndexSoftware))+1)) &amp;
CELL_YearMostRecent )</f>
        <v/>
      </c>
      <c r="D45" s="830"/>
      <c r="E45" s="387"/>
      <c r="F45" s="387"/>
      <c r="G45" s="358" t="str">
        <f>IF(CELL_OptionXL*(CELL_N_Software+CELL_N_UpgradeUpdate-2)&gt;=((ROW(G45)-ROW($G$39))/4+1),"XLCELL "&amp; CELL_YearMostRecent,"")</f>
        <v/>
      </c>
      <c r="H45" s="314"/>
      <c r="I45" s="314"/>
      <c r="J45" s="358" t="str">
        <f>IF(CELL_N_Software-1&gt;=((ROW(G45)-ROW($G$39))/4+1),IF(N_SystemTotal=0,"Software Only",IF(N_STDScanners+N_LAScanners+N_LCScanners=0,"Software Sans Scanner","Software Avec Scanner")),
IF(CELL_N_UpgradeUpdate-1&gt;=((ROW(G45)-ROW($G$39))/4+1)-(CELL_N_Software-1),"Update",""))</f>
        <v/>
      </c>
      <c r="K45" s="314"/>
      <c r="L45" s="308"/>
      <c r="M45" s="308"/>
      <c r="N45" s="308"/>
      <c r="O45" s="506"/>
      <c r="P45" s="302"/>
      <c r="Q45" s="302"/>
    </row>
    <row r="46" spans="1:17" ht="24" customHeight="1" x14ac:dyDescent="0.2">
      <c r="A46" s="561" t="s">
        <v>268</v>
      </c>
      <c r="B46" s="375" t="s">
        <v>268</v>
      </c>
      <c r="C46" s="507" t="str">
        <f>"☐☐ Win" &amp;
IF(INT((ROW(D46)-10)/30)+1=1,"DEN","")&amp;
IF(INT((ROW(D46)-10)/30)+1=2,"CEL","")&amp;
IF(INT((ROW(D46)-10)/30)+1=3,"RHI","")&amp;
IF(INT((ROW(D46)-10)/30)+1=4,"RT","")&amp;
IF(INT((ROW(D46)-10)/30)+1=5,"FOL","")&amp;
IF(INT((ROW(D46)-10)/30)+1=6,"SEE","")&amp;
IF(INT((ROW(D46)-10)/30)+1=7,"CAM","")&amp;
IF(INT((ROW(D46)-10)/30)+1=8,"SCA","") &amp; ".exe"</f>
        <v>☐☐ WinCEL.exe</v>
      </c>
      <c r="D46" s="507" t="str">
        <f xml:space="preserve"> IF(N("If it is Cam, Do not Show XL")+AND(ROW(D46)&gt;=189,ROW(D46)&lt;=218),"","☐ XL" &amp;
IF(INT((ROW(D46)-10)/30)+1=1,"STEM","")&amp;
IF(INT((ROW(D46)-10)/30)+1=2,"Cell","")&amp;
IF(INT((ROW(D46)-10)/30)+1=3,"Rhizo","")&amp;
IF(INT((ROW(D46)-10)/30)+1=4,"RhizoT","")&amp;
IF(INT((ROW(D46)-10)/30)+1=5,"Folia","")&amp;
IF(INT((ROW(D46)-10)/30)+1=6,"Seedle","")&amp;
IF(INT((ROW(D46)-10)/30)+1=7,"Cam","")&amp;
IF(INT((ROW(D46)-10)/30)+1=8,"Scanopy","") &amp; ".xls")</f>
        <v>☐ XLCell.xls</v>
      </c>
      <c r="E46" s="507" t="s">
        <v>309</v>
      </c>
      <c r="F46" s="508" t="s">
        <v>159</v>
      </c>
      <c r="G46" s="507" t="str">
        <f xml:space="preserve"> IF(N("If it is Cam, Do not Show XL")+AND(ROW(G46)&gt;=189,ROW(G46)&lt;=218),"","☐ XL Man")</f>
        <v>☐ XL Man</v>
      </c>
      <c r="H46" s="508" t="s">
        <v>290</v>
      </c>
      <c r="I46" s="395" t="s">
        <v>284</v>
      </c>
      <c r="J46" s="508" t="str">
        <f>IF(N("Si OR dessous = vrai, pas de box")+OR(
N("1 OR Tron ou CELL")+OR(AND(ROW(E46)&gt;=39,ROW(E46)&lt;=68),AND(ROW(E46)&gt;=99,ROW(E46)&lt;=128)),
N("2 Pas de système scanopy and range opy")+AND(ROW(E46)&gt;=219,ROW(E46)&lt;=248,SCANOPY_N_System&lt;2),
N("3 Avec LC")&amp;IF(ISERROR(LEFT(D45,SEARCH("00",D45)-3)),"",LEFT(D45,SEARCH("00",D45)-3))="LC"),"","☐ ")
&amp;
IF(N("If it's OPY, put OMount Manual instead")+
AND(ROW(D46)&gt;=219,ROW(D46)&lt;=248),
IF(SCANOPY_N_System&gt;1,
IF(SCANOPY_IndexScanner=1,"α" &amp; SCANOPY_CameraModel,SCANOPY_CameraModel_Mini) &amp; " Man",""),
IF(N("If it is Cell or Tron, Do not Show Scanner related items+No Video if LC")+OR(
AND(ROW(E46)&gt;=39,ROW(E46)&lt;=68),
AND(ROW(E46)&gt;=99,ROW(E46)&lt;=128)),
    "", IF(1=N("Si système a un scanner différent du Scanner populaire alors différent, sinon Scanner populaire")+AND(NOT(ISERROR(SEARCH("System",D45))),LEFT(D45,2)&lt;&gt;LEFT(PROD_MostPopularScanner,2)),
LEFT(D45,SEARCH("00",D45)-3),
PROD_MostPopularScanner) &amp; " Install Man"))</f>
        <v/>
      </c>
      <c r="K46" s="507" t="str">
        <f>IF(N("If it is Cell or Tron or OPY, Do not Show Twain")+OR(AND(ROW(K46)&gt;=39,ROW(K46)&lt;=68),AND(ROW(K46)&gt;=99,ROW(K46)&lt;=128),AND(ROW(J46)&gt;=219,ROW(J46)&lt;=248)),"","☐ TWAIN")</f>
        <v/>
      </c>
      <c r="L46" s="508" t="str">
        <f>IF(N("Si OR dessous = vrai, pas de box")+OR(
N("1 OR Dendro+CELL, Tron+Folia,Cam")+OR(
AND(ROW(K46)&gt;=9,ROW(K46)&lt;=68),
AND(ROW(K46)&gt;=99,ROW(K46)&lt;=158),
AND(ROW(K46)&gt;=189,ROW(K46)&lt;=218)),
N("2 Pas de système scanopy and range opy")+AND(ROW(K46)&gt;=219,ROW(K46)&lt;=248,SCANOPY_N_System&lt;2),
N("3 Avec LC")&amp;IF(ISERROR(LEFT(J45,SEARCH("00",J45)-3)),"",LEFT(J45,SEARCH("00",J45)-3))="LC"),"","☐ ")
&amp;
IF(N("If it's OPY, put OMount Manual instead")+
AND(ROW(J46)&gt;=219,ROW(J46)&lt;=248),
IF(SCANOPY_N_System&gt;1,"OMount Man",""),
IF(N("If it is Dendro+CELL, Tron+Folia or Cam, Do not Show Scanner related items+No Video if LC")+OR(
AND(ROW(K46)&gt;=9,ROW(K46)&lt;=68),
AND(ROW(K46)&gt;=99,ROW(K46)&lt;=158),
AND(ROW(K46)&gt;=189,ROW(K46)&lt;=218),
IF(ISERROR(LEFT(J45,SEARCH("00",J45)-3)),"",LEFT(J45,SEARCH("00",J45)-3))="LC"),
    "", "Video " &amp; IF(1=N("Si système a un scanner différent du Scanner populaire alors différent, sinon Scanner populaire")+AND(NOT(ISERROR(SEARCH("System",J45))),LEFT(J45,2)&lt;&gt;LEFT(PROD_MostPopularScanner,2)),
LEFT(J45,SEARCH("00",J45)-3),
PROD_MostPopularScanner) &amp; " Install"))</f>
        <v/>
      </c>
      <c r="M46" s="507" t="str">
        <f>IF(N("If it is Dendro or Tron, Do not Show Color Analysis Video")+
OR(AND(ROW(L46)&gt;=9,ROW(L46)&lt;=38),
AND(ROW(L46)&gt;=99,ROW(L46)&lt;=128)), "","☐ Video ClrAna")</f>
        <v>☐ Video ClrAna</v>
      </c>
      <c r="N46" s="508" t="str">
        <f>IF(OR(INT((ROW(D46)-10)/30)+1=2,INT((ROW(D46)-10)/30)+1=4),"","☐ ")&amp;
IF(INT((ROW(D46)-10)/30)+1=1,"Scanner.cal","")&amp;
IF(INT((ROW(D46)-10)/30)+1=2,"","")&amp;
IF(INT((ROW(D46)-10)/30)+1=3,"Scanner.cal","")&amp;
IF(INT((ROW(D46)-10)/30)+1=4,"","")&amp;
IF(INT((ROW(D46)-10)/30)+1=5,"Scanner.cal","")&amp;
IF(INT((ROW(D46)-10)/30)+1=6,"Scanner.cal","")&amp;
IF(INT((ROW(D46)-10)/30)+1=7,"Scanner.cal","")&amp;
IF(INT((ROW(D46)-10)/30)+1=8,IF(SCANOPY_Camera, "Indiv", "Gen")&amp; " Lens.cal","")</f>
        <v/>
      </c>
      <c r="O46" s="395" t="str">
        <f>IF(AND(ROW(L46)&gt;=9,ROW(L46)&lt;=38),"☐ RegentTarget.blu","")</f>
        <v/>
      </c>
      <c r="P46" s="302"/>
      <c r="Q46" s="302"/>
    </row>
    <row r="47" spans="1:17" ht="24" customHeight="1" x14ac:dyDescent="0.2">
      <c r="A47" s="561" t="s">
        <v>269</v>
      </c>
      <c r="B47" s="311" t="s">
        <v>269</v>
      </c>
      <c r="C47" s="395" t="s">
        <v>159</v>
      </c>
      <c r="D47" s="395" t="str">
        <f xml:space="preserve"> IF(N("If it is Cam, Do not Show XL")+AND(ROW(D47)&gt;=189,ROW(D47)&lt;=218),"","☐ XL Man")</f>
        <v>☐ XL Man</v>
      </c>
      <c r="E47" s="570" t="str">
        <f>IF(N("Si OR dessous = vrai, pas de box")+OR(
N("1 OR Tron ou CELL")+OR(AND(ROW(K46)&gt;=39,ROW(K46)&lt;=68),AND(ROW(K46)&gt;=99,ROW(K46)&lt;=128)),
N("2 Pas de système scanopy and range opy")+AND(ROW(K46)&gt;=219,ROW(K46)&lt;=248,SCANOPY_N_System&lt;2),
N("3 Avec LC")&amp;IF(ISERROR(LEFT(J45,SEARCH("00",J45)-3)),"",LEFT(J45,SEARCH("00",J45)-3))="LC"),"","☐ ")
&amp;
IF(N("If it's OPY, put OMount Manual instead")+
AND(ROW(J46)&gt;=219,ROW(J46)&lt;=248),
IF(SCANOPY_N_System&gt;1,"OMount Man",""),
IF(N("If it is Cell or Tron, Do not Show Scanner related items")+OR(
AND(ROW(K46)&gt;=39,ROW(K46)&lt;=68),
AND(ROW(K46)&gt;=99,ROW(K46)&lt;=128)),
    "", IF(1=N("Si système a un scanner différent du Scanner populaire alors différent, sinon Scanner populaire")+AND(NOT(ISERROR(SEARCH("System",J45))),LEFT(J45,2)&lt;&gt;LEFT(PROD_MostPopularScanner,2)),
LEFT(J45,SEARCH("00",J45)-3),
PROD_MostPopularScanner) &amp; " Install Man"))</f>
        <v/>
      </c>
      <c r="F47" s="509" t="s">
        <v>285</v>
      </c>
      <c r="G47" s="395" t="s">
        <v>284</v>
      </c>
      <c r="H47" s="572" t="s">
        <v>260</v>
      </c>
      <c r="I47" s="510"/>
      <c r="J47" s="395" t="s">
        <v>160</v>
      </c>
      <c r="K47" s="353"/>
      <c r="L47" s="572" t="s">
        <v>734</v>
      </c>
      <c r="M47" s="395"/>
      <c r="N47" s="509"/>
      <c r="O47" s="395"/>
      <c r="P47" s="302"/>
      <c r="Q47" s="302"/>
    </row>
    <row r="48" spans="1:17" ht="16.25" customHeight="1" x14ac:dyDescent="0.2">
      <c r="A48" s="549"/>
      <c r="B48" s="379"/>
      <c r="C48" s="830" t="str">
        <f>IF((CELL_N_UpgradeUpdate + CELL_N_Software ) = 2,"",LEFT(INDEX(CELL_SoftwareFullNames,CELL_IndexSoftware),FIND(" ",INDEX(CELL_SoftwareFullNames,CELL_IndexSoftware),FIND(" ",INDEX(CELL_SoftwareFullNames,CELL_IndexSoftware))+1)) &amp;
CELL_YearMostRecent )</f>
        <v/>
      </c>
      <c r="D48" s="830"/>
      <c r="E48" s="387"/>
      <c r="F48" s="387"/>
      <c r="G48" s="358" t="str">
        <f>IF(CELL_OptionXL*(CELL_N_Software+CELL_N_UpgradeUpdate-2)&gt;=((ROW(G48)-ROW($G$39))/4+1),"XLCELL "&amp; CELL_YearMostRecent,"")</f>
        <v/>
      </c>
      <c r="H48" s="314"/>
      <c r="I48" s="314"/>
      <c r="J48" s="358" t="str">
        <f>IF(CELL_N_Software-1&gt;=((ROW(G48)-ROW($G$39))/4+1),IF(N_SystemTotal=0,"Software Only",IF(N_STDScanners+N_LAScanners+N_LCScanners=0,"Software Sans Scanner","Software Avec Scanner")),
IF(CELL_N_UpgradeUpdate-1&gt;=((ROW(G48)-ROW($G$39))/4+1)-(CELL_N_Software-1),"Update",""))</f>
        <v/>
      </c>
      <c r="K48" s="314"/>
      <c r="L48" s="308"/>
      <c r="M48" s="308"/>
      <c r="N48" s="308"/>
      <c r="O48" s="506"/>
      <c r="P48" s="302"/>
      <c r="Q48" s="302"/>
    </row>
    <row r="49" spans="1:17" ht="24" customHeight="1" x14ac:dyDescent="0.2">
      <c r="A49" s="561" t="s">
        <v>268</v>
      </c>
      <c r="B49" s="375" t="s">
        <v>268</v>
      </c>
      <c r="C49" s="507" t="str">
        <f>"☐☐ Win" &amp;
IF(INT((ROW(D49)-10)/30)+1=1,"DEN","")&amp;
IF(INT((ROW(D49)-10)/30)+1=2,"CEL","")&amp;
IF(INT((ROW(D49)-10)/30)+1=3,"RHI","")&amp;
IF(INT((ROW(D49)-10)/30)+1=4,"RT","")&amp;
IF(INT((ROW(D49)-10)/30)+1=5,"FOL","")&amp;
IF(INT((ROW(D49)-10)/30)+1=6,"SEE","")&amp;
IF(INT((ROW(D49)-10)/30)+1=7,"CAM","")&amp;
IF(INT((ROW(D49)-10)/30)+1=8,"SCA","") &amp; ".exe"</f>
        <v>☐☐ WinCEL.exe</v>
      </c>
      <c r="D49" s="507" t="str">
        <f xml:space="preserve"> IF(N("If it is Cam, Do not Show XL")+AND(ROW(D49)&gt;=189,ROW(D49)&lt;=218),"","☐ XL" &amp;
IF(INT((ROW(D49)-10)/30)+1=1,"STEM","")&amp;
IF(INT((ROW(D49)-10)/30)+1=2,"Cell","")&amp;
IF(INT((ROW(D49)-10)/30)+1=3,"Rhizo","")&amp;
IF(INT((ROW(D49)-10)/30)+1=4,"RhizoT","")&amp;
IF(INT((ROW(D49)-10)/30)+1=5,"Folia","")&amp;
IF(INT((ROW(D49)-10)/30)+1=6,"Seedle","")&amp;
IF(INT((ROW(D49)-10)/30)+1=7,"Cam","")&amp;
IF(INT((ROW(D49)-10)/30)+1=8,"Scanopy","") &amp; ".xls")</f>
        <v>☐ XLCell.xls</v>
      </c>
      <c r="E49" s="507" t="s">
        <v>309</v>
      </c>
      <c r="F49" s="508" t="s">
        <v>159</v>
      </c>
      <c r="G49" s="507" t="str">
        <f xml:space="preserve"> IF(N("If it is Cam, Do not Show XL")+AND(ROW(G49)&gt;=189,ROW(G49)&lt;=218),"","☐ XL Man")</f>
        <v>☐ XL Man</v>
      </c>
      <c r="H49" s="508" t="s">
        <v>290</v>
      </c>
      <c r="I49" s="395" t="s">
        <v>284</v>
      </c>
      <c r="J49" s="508" t="str">
        <f>IF(N("Si OR dessous = vrai, pas de box")+OR(
N("1 OR Tron ou CELL")+OR(AND(ROW(E49)&gt;=39,ROW(E49)&lt;=68),AND(ROW(E49)&gt;=99,ROW(E49)&lt;=128)),
N("2 Pas de système scanopy and range opy")+AND(ROW(E49)&gt;=219,ROW(E49)&lt;=248,SCANOPY_N_System&lt;2),
N("3 Avec LC")&amp;IF(ISERROR(LEFT(D48,SEARCH("00",D48)-3)),"",LEFT(D48,SEARCH("00",D48)-3))="LC"),"","☐ ")
&amp;
IF(N("If it's OPY, put OMount Manual instead")+
AND(ROW(D49)&gt;=219,ROW(D49)&lt;=248),
IF(SCANOPY_N_System&gt;1,
IF(SCANOPY_IndexScanner=1,"α" &amp; SCANOPY_CameraModel,SCANOPY_CameraModel_Mini) &amp; " Man",""),
IF(N("If it is Cell or Tron, Do not Show Scanner related items+No Video if LC")+OR(
AND(ROW(E49)&gt;=39,ROW(E49)&lt;=68),
AND(ROW(E49)&gt;=99,ROW(E49)&lt;=128)),
    "", IF(1=N("Si système a un scanner différent du Scanner populaire alors différent, sinon Scanner populaire")+AND(NOT(ISERROR(SEARCH("System",D48))),LEFT(D48,2)&lt;&gt;LEFT(PROD_MostPopularScanner,2)),
LEFT(D48,SEARCH("00",D48)-3),
PROD_MostPopularScanner) &amp; " Install Man"))</f>
        <v/>
      </c>
      <c r="K49" s="507" t="str">
        <f>IF(N("If it is Cell or Tron or OPY, Do not Show Twain")+OR(AND(ROW(K49)&gt;=39,ROW(K49)&lt;=68),AND(ROW(K49)&gt;=99,ROW(K49)&lt;=128),AND(ROW(J49)&gt;=219,ROW(J49)&lt;=248)),"","☐ TWAIN")</f>
        <v/>
      </c>
      <c r="L49" s="508" t="str">
        <f>IF(N("Si OR dessous = vrai, pas de box")+OR(
N("1 OR Dendro+CELL, Tron+Folia,Cam")+OR(
AND(ROW(K49)&gt;=9,ROW(K49)&lt;=68),
AND(ROW(K49)&gt;=99,ROW(K49)&lt;=158),
AND(ROW(K49)&gt;=189,ROW(K49)&lt;=218)),
N("2 Pas de système scanopy and range opy")+AND(ROW(K49)&gt;=219,ROW(K49)&lt;=248,SCANOPY_N_System&lt;2),
N("3 Avec LC")&amp;IF(ISERROR(LEFT(J48,SEARCH("00",J48)-3)),"",LEFT(J48,SEARCH("00",J48)-3))="LC"),"","☐ ")
&amp;
IF(N("If it's OPY, put OMount Manual instead")+
AND(ROW(J49)&gt;=219,ROW(J49)&lt;=248),
IF(SCANOPY_N_System&gt;1,"OMount Man",""),
IF(N("If it is Dendro+CELL, Tron+Folia or Cam, Do not Show Scanner related items+No Video if LC")+OR(
AND(ROW(K49)&gt;=9,ROW(K49)&lt;=68),
AND(ROW(K49)&gt;=99,ROW(K49)&lt;=158),
AND(ROW(K49)&gt;=189,ROW(K49)&lt;=218),
IF(ISERROR(LEFT(J48,SEARCH("00",J48)-3)),"",LEFT(J48,SEARCH("00",J48)-3))="LC"),
    "", "Video " &amp; IF(1=N("Si système a un scanner différent du Scanner populaire alors différent, sinon Scanner populaire")+AND(NOT(ISERROR(SEARCH("System",J48))),LEFT(J48,2)&lt;&gt;LEFT(PROD_MostPopularScanner,2)),
LEFT(J48,SEARCH("00",J48)-3),
PROD_MostPopularScanner) &amp; " Install"))</f>
        <v/>
      </c>
      <c r="M49" s="507" t="str">
        <f>IF(N("If it is Dendro or Tron, Do not Show Color Analysis Video")+
OR(AND(ROW(L49)&gt;=9,ROW(L49)&lt;=38),
AND(ROW(L49)&gt;=99,ROW(L49)&lt;=128)), "","☐ Video ClrAna")</f>
        <v>☐ Video ClrAna</v>
      </c>
      <c r="N49" s="508" t="str">
        <f>IF(OR(INT((ROW(D49)-10)/30)+1=2,INT((ROW(D49)-10)/30)+1=4),"","☐ ")&amp;
IF(INT((ROW(D49)-10)/30)+1=1,"Scanner.cal","")&amp;
IF(INT((ROW(D49)-10)/30)+1=2,"","")&amp;
IF(INT((ROW(D49)-10)/30)+1=3,"Scanner.cal","")&amp;
IF(INT((ROW(D49)-10)/30)+1=4,"","")&amp;
IF(INT((ROW(D49)-10)/30)+1=5,"Scanner.cal","")&amp;
IF(INT((ROW(D49)-10)/30)+1=6,"Scanner.cal","")&amp;
IF(INT((ROW(D49)-10)/30)+1=7,"Scanner.cal","")&amp;
IF(INT((ROW(D49)-10)/30)+1=8,IF(SCANOPY_Camera, "Indiv", "Gen")&amp; " Lens.cal","")</f>
        <v/>
      </c>
      <c r="O49" s="395" t="str">
        <f>IF(AND(ROW(L49)&gt;=9,ROW(L49)&lt;=38),"☐ RegentTarget.blu","")</f>
        <v/>
      </c>
      <c r="P49" s="302"/>
      <c r="Q49" s="302"/>
    </row>
    <row r="50" spans="1:17" ht="24" customHeight="1" x14ac:dyDescent="0.2">
      <c r="A50" s="561" t="s">
        <v>269</v>
      </c>
      <c r="B50" s="311" t="s">
        <v>269</v>
      </c>
      <c r="C50" s="395" t="s">
        <v>159</v>
      </c>
      <c r="D50" s="395" t="str">
        <f xml:space="preserve"> IF(N("If it is Cam, Do not Show XL")+AND(ROW(D50)&gt;=189,ROW(D50)&lt;=218),"","☐ XL Man")</f>
        <v>☐ XL Man</v>
      </c>
      <c r="E50" s="570" t="str">
        <f>IF(N("Si OR dessous = vrai, pas de box")+OR(
N("1 OR Tron ou CELL")+OR(AND(ROW(K49)&gt;=39,ROW(K49)&lt;=68),AND(ROW(K49)&gt;=99,ROW(K49)&lt;=128)),
N("2 Pas de système scanopy and range opy")+AND(ROW(K49)&gt;=219,ROW(K49)&lt;=248,SCANOPY_N_System&lt;2),
N("3 Avec LC")&amp;IF(ISERROR(LEFT(J48,SEARCH("00",J48)-3)),"",LEFT(J48,SEARCH("00",J48)-3))="LC"),"","☐ ")
&amp;
IF(N("If it's OPY, put OMount Manual instead")+
AND(ROW(J49)&gt;=219,ROW(J49)&lt;=248),
IF(SCANOPY_N_System&gt;1,"OMount Man",""),
IF(N("If it is Cell or Tron, Do not Show Scanner related items")+OR(
AND(ROW(K49)&gt;=39,ROW(K49)&lt;=68),
AND(ROW(K49)&gt;=99,ROW(K49)&lt;=128)),
    "", IF(1=N("Si système a un scanner différent du Scanner populaire alors différent, sinon Scanner populaire")+AND(NOT(ISERROR(SEARCH("System",J48))),LEFT(J48,2)&lt;&gt;LEFT(PROD_MostPopularScanner,2)),
LEFT(J48,SEARCH("00",J48)-3),
PROD_MostPopularScanner) &amp; " Install Man"))</f>
        <v/>
      </c>
      <c r="F50" s="509" t="s">
        <v>285</v>
      </c>
      <c r="G50" s="395" t="s">
        <v>284</v>
      </c>
      <c r="H50" s="572" t="s">
        <v>260</v>
      </c>
      <c r="I50" s="510"/>
      <c r="J50" s="395" t="s">
        <v>160</v>
      </c>
      <c r="K50" s="353"/>
      <c r="L50" s="572" t="s">
        <v>734</v>
      </c>
      <c r="M50" s="395"/>
      <c r="N50" s="509"/>
      <c r="O50" s="395"/>
      <c r="P50" s="302"/>
      <c r="Q50" s="302"/>
    </row>
    <row r="51" spans="1:17" ht="16.25" customHeight="1" x14ac:dyDescent="0.2">
      <c r="A51" s="549"/>
      <c r="B51" s="379"/>
      <c r="C51" s="830" t="str">
        <f>IF((CELL_N_UpgradeUpdate + CELL_N_Software ) = 2,"",LEFT(INDEX(CELL_SoftwareFullNames,CELL_IndexSoftware),FIND(" ",INDEX(CELL_SoftwareFullNames,CELL_IndexSoftware),FIND(" ",INDEX(CELL_SoftwareFullNames,CELL_IndexSoftware))+1)) &amp;
CELL_YearMostRecent )</f>
        <v/>
      </c>
      <c r="D51" s="830"/>
      <c r="E51" s="387"/>
      <c r="F51" s="387"/>
      <c r="G51" s="358" t="str">
        <f>IF(CELL_OptionXL*(CELL_N_Software+CELL_N_UpgradeUpdate-2)&gt;=((ROW(G51)-ROW($G$39))/4+1),"XLCELL "&amp; CELL_YearMostRecent,"")</f>
        <v/>
      </c>
      <c r="H51" s="314"/>
      <c r="I51" s="314"/>
      <c r="J51" s="358" t="str">
        <f>IF(CELL_N_Software-1&gt;=((ROW(G51)-ROW($G$39))/4+1),IF(N_SystemTotal=0,"Software Only",IF(N_STDScanners+N_LAScanners+N_LCScanners=0,"Software Sans Scanner","Software Avec Scanner")),
IF(CELL_N_UpgradeUpdate-1&gt;=((ROW(G51)-ROW($G$39))/4+1)-(CELL_N_Software-1),"Update",""))</f>
        <v/>
      </c>
      <c r="K51" s="314"/>
      <c r="L51" s="308"/>
      <c r="M51" s="308"/>
      <c r="N51" s="308"/>
      <c r="O51" s="506"/>
      <c r="P51" s="302"/>
      <c r="Q51" s="302"/>
    </row>
    <row r="52" spans="1:17" ht="24" customHeight="1" x14ac:dyDescent="0.2">
      <c r="A52" s="561" t="s">
        <v>268</v>
      </c>
      <c r="B52" s="375" t="s">
        <v>268</v>
      </c>
      <c r="C52" s="507" t="str">
        <f>"☐☐ Win" &amp;
IF(INT((ROW(D52)-10)/30)+1=1,"DEN","")&amp;
IF(INT((ROW(D52)-10)/30)+1=2,"CEL","")&amp;
IF(INT((ROW(D52)-10)/30)+1=3,"RHI","")&amp;
IF(INT((ROW(D52)-10)/30)+1=4,"RT","")&amp;
IF(INT((ROW(D52)-10)/30)+1=5,"FOL","")&amp;
IF(INT((ROW(D52)-10)/30)+1=6,"SEE","")&amp;
IF(INT((ROW(D52)-10)/30)+1=7,"CAM","")&amp;
IF(INT((ROW(D52)-10)/30)+1=8,"SCA","") &amp; ".exe"</f>
        <v>☐☐ WinCEL.exe</v>
      </c>
      <c r="D52" s="507" t="str">
        <f xml:space="preserve"> IF(N("If it is Cam, Do not Show XL")+AND(ROW(D52)&gt;=189,ROW(D52)&lt;=218),"","☐ XL" &amp;
IF(INT((ROW(D52)-10)/30)+1=1,"STEM","")&amp;
IF(INT((ROW(D52)-10)/30)+1=2,"Cell","")&amp;
IF(INT((ROW(D52)-10)/30)+1=3,"Rhizo","")&amp;
IF(INT((ROW(D52)-10)/30)+1=4,"RhizoT","")&amp;
IF(INT((ROW(D52)-10)/30)+1=5,"Folia","")&amp;
IF(INT((ROW(D52)-10)/30)+1=6,"Seedle","")&amp;
IF(INT((ROW(D52)-10)/30)+1=7,"Cam","")&amp;
IF(INT((ROW(D52)-10)/30)+1=8,"Scanopy","") &amp; ".xls")</f>
        <v>☐ XLCell.xls</v>
      </c>
      <c r="E52" s="507" t="s">
        <v>309</v>
      </c>
      <c r="F52" s="508" t="s">
        <v>159</v>
      </c>
      <c r="G52" s="507" t="str">
        <f xml:space="preserve"> IF(N("If it is Cam, Do not Show XL")+AND(ROW(G52)&gt;=189,ROW(G52)&lt;=218),"","☐ XL Man")</f>
        <v>☐ XL Man</v>
      </c>
      <c r="H52" s="508" t="s">
        <v>290</v>
      </c>
      <c r="I52" s="395" t="s">
        <v>284</v>
      </c>
      <c r="J52" s="508" t="str">
        <f>IF(N("Si OR dessous = vrai, pas de box")+OR(
N("1 OR Tron ou CELL")+OR(AND(ROW(E52)&gt;=39,ROW(E52)&lt;=68),AND(ROW(E52)&gt;=99,ROW(E52)&lt;=128)),
N("2 Pas de système scanopy and range opy")+AND(ROW(E52)&gt;=219,ROW(E52)&lt;=248,SCANOPY_N_System&lt;2),
N("3 Avec LC")&amp;IF(ISERROR(LEFT(D51,SEARCH("00",D51)-3)),"",LEFT(D51,SEARCH("00",D51)-3))="LC"),"","☐ ")
&amp;
IF(N("If it's OPY, put OMount Manual instead")+
AND(ROW(D52)&gt;=219,ROW(D52)&lt;=248),
IF(SCANOPY_N_System&gt;1,
IF(SCANOPY_IndexScanner=1,"α" &amp; SCANOPY_CameraModel,SCANOPY_CameraModel_Mini) &amp; " Man",""),
IF(N("If it is Cell or Tron, Do not Show Scanner related items+No Video if LC")+OR(
AND(ROW(E52)&gt;=39,ROW(E52)&lt;=68),
AND(ROW(E52)&gt;=99,ROW(E52)&lt;=128)),
    "", IF(1=N("Si système a un scanner différent du Scanner populaire alors différent, sinon Scanner populaire")+AND(NOT(ISERROR(SEARCH("System",D51))),LEFT(D51,2)&lt;&gt;LEFT(PROD_MostPopularScanner,2)),
LEFT(D51,SEARCH("00",D51)-3),
PROD_MostPopularScanner) &amp; " Install Man"))</f>
        <v/>
      </c>
      <c r="K52" s="507" t="str">
        <f>IF(N("If it is Cell or Tron or OPY, Do not Show Twain")+OR(AND(ROW(K52)&gt;=39,ROW(K52)&lt;=68),AND(ROW(K52)&gt;=99,ROW(K52)&lt;=128),AND(ROW(J52)&gt;=219,ROW(J52)&lt;=248)),"","☐ TWAIN")</f>
        <v/>
      </c>
      <c r="L52" s="508" t="str">
        <f>IF(N("Si OR dessous = vrai, pas de box")+OR(
N("1 OR Dendro+CELL, Tron+Folia,Cam")+OR(
AND(ROW(K52)&gt;=9,ROW(K52)&lt;=68),
AND(ROW(K52)&gt;=99,ROW(K52)&lt;=158),
AND(ROW(K52)&gt;=189,ROW(K52)&lt;=218)),
N("2 Pas de système scanopy and range opy")+AND(ROW(K52)&gt;=219,ROW(K52)&lt;=248,SCANOPY_N_System&lt;2),
N("3 Avec LC")&amp;IF(ISERROR(LEFT(J51,SEARCH("00",J51)-3)),"",LEFT(J51,SEARCH("00",J51)-3))="LC"),"","☐ ")
&amp;
IF(N("If it's OPY, put OMount Manual instead")+
AND(ROW(J52)&gt;=219,ROW(J52)&lt;=248),
IF(SCANOPY_N_System&gt;1,"OMount Man",""),
IF(N("If it is Dendro+CELL, Tron+Folia or Cam, Do not Show Scanner related items+No Video if LC")+OR(
AND(ROW(K52)&gt;=9,ROW(K52)&lt;=68),
AND(ROW(K52)&gt;=99,ROW(K52)&lt;=158),
AND(ROW(K52)&gt;=189,ROW(K52)&lt;=218),
IF(ISERROR(LEFT(J51,SEARCH("00",J51)-3)),"",LEFT(J51,SEARCH("00",J51)-3))="LC"),
    "", "Video " &amp; IF(1=N("Si système a un scanner différent du Scanner populaire alors différent, sinon Scanner populaire")+AND(NOT(ISERROR(SEARCH("System",J51))),LEFT(J51,2)&lt;&gt;LEFT(PROD_MostPopularScanner,2)),
LEFT(J51,SEARCH("00",J51)-3),
PROD_MostPopularScanner) &amp; " Install"))</f>
        <v/>
      </c>
      <c r="M52" s="507" t="str">
        <f>IF(N("If it is Dendro or Tron, Do not Show Color Analysis Video")+
OR(AND(ROW(L52)&gt;=9,ROW(L52)&lt;=38),
AND(ROW(L52)&gt;=99,ROW(L52)&lt;=128)), "","☐ Video ClrAna")</f>
        <v>☐ Video ClrAna</v>
      </c>
      <c r="N52" s="508" t="str">
        <f>IF(OR(INT((ROW(D52)-10)/30)+1=2,INT((ROW(D52)-10)/30)+1=4),"","☐ ")&amp;
IF(INT((ROW(D52)-10)/30)+1=1,"Scanner.cal","")&amp;
IF(INT((ROW(D52)-10)/30)+1=2,"","")&amp;
IF(INT((ROW(D52)-10)/30)+1=3,"Scanner.cal","")&amp;
IF(INT((ROW(D52)-10)/30)+1=4,"","")&amp;
IF(INT((ROW(D52)-10)/30)+1=5,"Scanner.cal","")&amp;
IF(INT((ROW(D52)-10)/30)+1=6,"Scanner.cal","")&amp;
IF(INT((ROW(D52)-10)/30)+1=7,"Scanner.cal","")&amp;
IF(INT((ROW(D52)-10)/30)+1=8,IF(SCANOPY_Camera, "Indiv", "Gen")&amp; " Lens.cal","")</f>
        <v/>
      </c>
      <c r="O52" s="395" t="str">
        <f>IF(AND(ROW(L52)&gt;=9,ROW(L52)&lt;=38),"☐ RegentTarget.blu","")</f>
        <v/>
      </c>
      <c r="P52" s="302"/>
      <c r="Q52" s="302"/>
    </row>
    <row r="53" spans="1:17" ht="24" customHeight="1" x14ac:dyDescent="0.2">
      <c r="A53" s="561" t="s">
        <v>269</v>
      </c>
      <c r="B53" s="311" t="s">
        <v>269</v>
      </c>
      <c r="C53" s="395" t="s">
        <v>159</v>
      </c>
      <c r="D53" s="395" t="str">
        <f xml:space="preserve"> IF(N("If it is Cam, Do not Show XL")+AND(ROW(D53)&gt;=189,ROW(D53)&lt;=218),"","☐ XL Man")</f>
        <v>☐ XL Man</v>
      </c>
      <c r="E53" s="570" t="str">
        <f>IF(N("Si OR dessous = vrai, pas de box")+OR(
N("1 OR Tron ou CELL")+OR(AND(ROW(K52)&gt;=39,ROW(K52)&lt;=68),AND(ROW(K52)&gt;=99,ROW(K52)&lt;=128)),
N("2 Pas de système scanopy and range opy")+AND(ROW(K52)&gt;=219,ROW(K52)&lt;=248,SCANOPY_N_System&lt;2),
N("3 Avec LC")&amp;IF(ISERROR(LEFT(J51,SEARCH("00",J51)-3)),"",LEFT(J51,SEARCH("00",J51)-3))="LC"),"","☐ ")
&amp;
IF(N("If it's OPY, put OMount Manual instead")+
AND(ROW(J52)&gt;=219,ROW(J52)&lt;=248),
IF(SCANOPY_N_System&gt;1,"OMount Man",""),
IF(N("If it is Cell or Tron, Do not Show Scanner related items")+OR(
AND(ROW(K52)&gt;=39,ROW(K52)&lt;=68),
AND(ROW(K52)&gt;=99,ROW(K52)&lt;=128)),
    "", IF(1=N("Si système a un scanner différent du Scanner populaire alors différent, sinon Scanner populaire")+AND(NOT(ISERROR(SEARCH("System",J51))),LEFT(J51,2)&lt;&gt;LEFT(PROD_MostPopularScanner,2)),
LEFT(J51,SEARCH("00",J51)-3),
PROD_MostPopularScanner) &amp; " Install Man"))</f>
        <v/>
      </c>
      <c r="F53" s="509" t="s">
        <v>285</v>
      </c>
      <c r="G53" s="395" t="s">
        <v>284</v>
      </c>
      <c r="H53" s="572" t="s">
        <v>260</v>
      </c>
      <c r="I53" s="510"/>
      <c r="J53" s="395" t="s">
        <v>160</v>
      </c>
      <c r="K53" s="353"/>
      <c r="L53" s="572" t="s">
        <v>734</v>
      </c>
      <c r="M53" s="395"/>
      <c r="N53" s="509"/>
      <c r="O53" s="395"/>
      <c r="P53" s="302"/>
      <c r="Q53" s="302"/>
    </row>
    <row r="54" spans="1:17" ht="16.25" customHeight="1" x14ac:dyDescent="0.2">
      <c r="A54" s="549"/>
      <c r="B54" s="379"/>
      <c r="C54" s="830" t="str">
        <f>IF((CELL_N_UpgradeUpdate + CELL_N_Software ) = 2,"",LEFT(INDEX(CELL_SoftwareFullNames,CELL_IndexSoftware),FIND(" ",INDEX(CELL_SoftwareFullNames,CELL_IndexSoftware),FIND(" ",INDEX(CELL_SoftwareFullNames,CELL_IndexSoftware))+1)) &amp;
CELL_YearMostRecent )</f>
        <v/>
      </c>
      <c r="D54" s="830"/>
      <c r="E54" s="387"/>
      <c r="F54" s="387"/>
      <c r="G54" s="358" t="str">
        <f>IF(CELL_OptionXL*(CELL_N_Software+CELL_N_UpgradeUpdate-2)&gt;=((ROW(G54)-ROW($G$39))/4+1),"XLCELL "&amp; CELL_YearMostRecent,"")</f>
        <v/>
      </c>
      <c r="H54" s="314"/>
      <c r="I54" s="314"/>
      <c r="J54" s="358" t="str">
        <f>IF(CELL_N_Software-1&gt;=((ROW(G54)-ROW($G$39))/4+1),IF(N_SystemTotal=0,"Software Only",IF(N_STDScanners+N_LAScanners+N_LCScanners=0,"Software Sans Scanner","Software Avec Scanner")),
IF(CELL_N_UpgradeUpdate-1&gt;=((ROW(G54)-ROW($G$39))/4+1)-(CELL_N_Software-1),"Update",""))</f>
        <v/>
      </c>
      <c r="K54" s="314"/>
      <c r="L54" s="308"/>
      <c r="M54" s="308"/>
      <c r="N54" s="308"/>
      <c r="O54" s="506"/>
      <c r="P54" s="302"/>
      <c r="Q54" s="302"/>
    </row>
    <row r="55" spans="1:17" ht="24" customHeight="1" x14ac:dyDescent="0.2">
      <c r="A55" s="561" t="s">
        <v>268</v>
      </c>
      <c r="B55" s="375" t="s">
        <v>268</v>
      </c>
      <c r="C55" s="507" t="str">
        <f>"☐☐ Win" &amp;
IF(INT((ROW(D55)-10)/30)+1=1,"DEN","")&amp;
IF(INT((ROW(D55)-10)/30)+1=2,"CEL","")&amp;
IF(INT((ROW(D55)-10)/30)+1=3,"RHI","")&amp;
IF(INT((ROW(D55)-10)/30)+1=4,"RT","")&amp;
IF(INT((ROW(D55)-10)/30)+1=5,"FOL","")&amp;
IF(INT((ROW(D55)-10)/30)+1=6,"SEE","")&amp;
IF(INT((ROW(D55)-10)/30)+1=7,"CAM","")&amp;
IF(INT((ROW(D55)-10)/30)+1=8,"SCA","") &amp; ".exe"</f>
        <v>☐☐ WinCEL.exe</v>
      </c>
      <c r="D55" s="507" t="str">
        <f xml:space="preserve"> IF(N("If it is Cam, Do not Show XL")+AND(ROW(D55)&gt;=189,ROW(D55)&lt;=218),"","☐ XL" &amp;
IF(INT((ROW(D55)-10)/30)+1=1,"STEM","")&amp;
IF(INT((ROW(D55)-10)/30)+1=2,"Cell","")&amp;
IF(INT((ROW(D55)-10)/30)+1=3,"Rhizo","")&amp;
IF(INT((ROW(D55)-10)/30)+1=4,"RhizoT","")&amp;
IF(INT((ROW(D55)-10)/30)+1=5,"Folia","")&amp;
IF(INT((ROW(D55)-10)/30)+1=6,"Seedle","")&amp;
IF(INT((ROW(D55)-10)/30)+1=7,"Cam","")&amp;
IF(INT((ROW(D55)-10)/30)+1=8,"Scanopy","") &amp; ".xls")</f>
        <v>☐ XLCell.xls</v>
      </c>
      <c r="E55" s="507" t="s">
        <v>309</v>
      </c>
      <c r="F55" s="508" t="s">
        <v>159</v>
      </c>
      <c r="G55" s="507" t="str">
        <f xml:space="preserve"> IF(N("If it is Cam, Do not Show XL")+AND(ROW(G55)&gt;=189,ROW(G55)&lt;=218),"","☐ XL Man")</f>
        <v>☐ XL Man</v>
      </c>
      <c r="H55" s="508" t="s">
        <v>290</v>
      </c>
      <c r="I55" s="395" t="s">
        <v>284</v>
      </c>
      <c r="J55" s="508" t="str">
        <f>IF(N("Si OR dessous = vrai, pas de box")+OR(
N("1 OR Tron ou CELL")+OR(AND(ROW(E55)&gt;=39,ROW(E55)&lt;=68),AND(ROW(E55)&gt;=99,ROW(E55)&lt;=128)),
N("2 Pas de système scanopy and range opy")+AND(ROW(E55)&gt;=219,ROW(E55)&lt;=248,SCANOPY_N_System&lt;2),
N("3 Avec LC")&amp;IF(ISERROR(LEFT(D54,SEARCH("00",D54)-3)),"",LEFT(D54,SEARCH("00",D54)-3))="LC"),"","☐ ")
&amp;
IF(N("If it's OPY, put OMount Manual instead")+
AND(ROW(D55)&gt;=219,ROW(D55)&lt;=248),
IF(SCANOPY_N_System&gt;1,
IF(SCANOPY_IndexScanner=1,"α" &amp; SCANOPY_CameraModel,SCANOPY_CameraModel_Mini) &amp; " Man",""),
IF(N("If it is Cell or Tron, Do not Show Scanner related items+No Video if LC")+OR(
AND(ROW(E55)&gt;=39,ROW(E55)&lt;=68),
AND(ROW(E55)&gt;=99,ROW(E55)&lt;=128)),
    "", IF(1=N("Si système a un scanner différent du Scanner populaire alors différent, sinon Scanner populaire")+AND(NOT(ISERROR(SEARCH("System",D54))),LEFT(D54,2)&lt;&gt;LEFT(PROD_MostPopularScanner,2)),
LEFT(D54,SEARCH("00",D54)-3),
PROD_MostPopularScanner) &amp; " Install Man"))</f>
        <v/>
      </c>
      <c r="K55" s="507" t="str">
        <f>IF(N("If it is Cell or Tron or OPY, Do not Show Twain")+OR(AND(ROW(K55)&gt;=39,ROW(K55)&lt;=68),AND(ROW(K55)&gt;=99,ROW(K55)&lt;=128),AND(ROW(J55)&gt;=219,ROW(J55)&lt;=248)),"","☐ TWAIN")</f>
        <v/>
      </c>
      <c r="L55" s="508" t="str">
        <f>IF(N("Si OR dessous = vrai, pas de box")+OR(
N("1 OR Dendro+CELL, Tron+Folia,Cam")+OR(
AND(ROW(K55)&gt;=9,ROW(K55)&lt;=68),
AND(ROW(K55)&gt;=99,ROW(K55)&lt;=158),
AND(ROW(K55)&gt;=189,ROW(K55)&lt;=218)),
N("2 Pas de système scanopy and range opy")+AND(ROW(K55)&gt;=219,ROW(K55)&lt;=248,SCANOPY_N_System&lt;2),
N("3 Avec LC")&amp;IF(ISERROR(LEFT(J54,SEARCH("00",J54)-3)),"",LEFT(J54,SEARCH("00",J54)-3))="LC"),"","☐ ")
&amp;
IF(N("If it's OPY, put OMount Manual instead")+
AND(ROW(J55)&gt;=219,ROW(J55)&lt;=248),
IF(SCANOPY_N_System&gt;1,"OMount Man",""),
IF(N("If it is Dendro+CELL, Tron+Folia or Cam, Do not Show Scanner related items+No Video if LC")+OR(
AND(ROW(K55)&gt;=9,ROW(K55)&lt;=68),
AND(ROW(K55)&gt;=99,ROW(K55)&lt;=158),
AND(ROW(K55)&gt;=189,ROW(K55)&lt;=218),
IF(ISERROR(LEFT(J54,SEARCH("00",J54)-3)),"",LEFT(J54,SEARCH("00",J54)-3))="LC"),
    "", "Video " &amp; IF(1=N("Si système a un scanner différent du Scanner populaire alors différent, sinon Scanner populaire")+AND(NOT(ISERROR(SEARCH("System",J54))),LEFT(J54,2)&lt;&gt;LEFT(PROD_MostPopularScanner,2)),
LEFT(J54,SEARCH("00",J54)-3),
PROD_MostPopularScanner) &amp; " Install"))</f>
        <v/>
      </c>
      <c r="M55" s="507" t="str">
        <f>IF(N("If it is Dendro or Tron, Do not Show Color Analysis Video")+
OR(AND(ROW(L55)&gt;=9,ROW(L55)&lt;=38),
AND(ROW(L55)&gt;=99,ROW(L55)&lt;=128)), "","☐ Video ClrAna")</f>
        <v>☐ Video ClrAna</v>
      </c>
      <c r="N55" s="508" t="str">
        <f>IF(OR(INT((ROW(D55)-10)/30)+1=2,INT((ROW(D55)-10)/30)+1=4),"","☐ ")&amp;
IF(INT((ROW(D55)-10)/30)+1=1,"Scanner.cal","")&amp;
IF(INT((ROW(D55)-10)/30)+1=2,"","")&amp;
IF(INT((ROW(D55)-10)/30)+1=3,"Scanner.cal","")&amp;
IF(INT((ROW(D55)-10)/30)+1=4,"","")&amp;
IF(INT((ROW(D55)-10)/30)+1=5,"Scanner.cal","")&amp;
IF(INT((ROW(D55)-10)/30)+1=6,"Scanner.cal","")&amp;
IF(INT((ROW(D55)-10)/30)+1=7,"Scanner.cal","")&amp;
IF(INT((ROW(D55)-10)/30)+1=8,IF(SCANOPY_Camera, "Indiv", "Gen")&amp; " Lens.cal","")</f>
        <v/>
      </c>
      <c r="O55" s="395" t="str">
        <f>IF(AND(ROW(L55)&gt;=9,ROW(L55)&lt;=38),"☐ RegentTarget.blu","")</f>
        <v/>
      </c>
      <c r="P55" s="302"/>
      <c r="Q55" s="302"/>
    </row>
    <row r="56" spans="1:17" ht="24" customHeight="1" x14ac:dyDescent="0.2">
      <c r="A56" s="561" t="s">
        <v>269</v>
      </c>
      <c r="B56" s="311" t="s">
        <v>269</v>
      </c>
      <c r="C56" s="395" t="s">
        <v>159</v>
      </c>
      <c r="D56" s="395" t="str">
        <f xml:space="preserve"> IF(N("If it is Cam, Do not Show XL")+AND(ROW(D56)&gt;=189,ROW(D56)&lt;=218),"","☐ XL Man")</f>
        <v>☐ XL Man</v>
      </c>
      <c r="E56" s="570" t="str">
        <f>IF(N("Si OR dessous = vrai, pas de box")+OR(
N("1 OR Tron ou CELL")+OR(AND(ROW(K55)&gt;=39,ROW(K55)&lt;=68),AND(ROW(K55)&gt;=99,ROW(K55)&lt;=128)),
N("2 Pas de système scanopy and range opy")+AND(ROW(K55)&gt;=219,ROW(K55)&lt;=248,SCANOPY_N_System&lt;2),
N("3 Avec LC")&amp;IF(ISERROR(LEFT(J54,SEARCH("00",J54)-3)),"",LEFT(J54,SEARCH("00",J54)-3))="LC"),"","☐ ")
&amp;
IF(N("If it's OPY, put OMount Manual instead")+
AND(ROW(J55)&gt;=219,ROW(J55)&lt;=248),
IF(SCANOPY_N_System&gt;1,"OMount Man",""),
IF(N("If it is Cell or Tron, Do not Show Scanner related items")+OR(
AND(ROW(K55)&gt;=39,ROW(K55)&lt;=68),
AND(ROW(K55)&gt;=99,ROW(K55)&lt;=128)),
    "", IF(1=N("Si système a un scanner différent du Scanner populaire alors différent, sinon Scanner populaire")+AND(NOT(ISERROR(SEARCH("System",J54))),LEFT(J54,2)&lt;&gt;LEFT(PROD_MostPopularScanner,2)),
LEFT(J54,SEARCH("00",J54)-3),
PROD_MostPopularScanner) &amp; " Install Man"))</f>
        <v/>
      </c>
      <c r="F56" s="509" t="s">
        <v>285</v>
      </c>
      <c r="G56" s="395" t="s">
        <v>284</v>
      </c>
      <c r="H56" s="572" t="s">
        <v>260</v>
      </c>
      <c r="I56" s="510"/>
      <c r="J56" s="395" t="s">
        <v>160</v>
      </c>
      <c r="K56" s="353"/>
      <c r="L56" s="572" t="s">
        <v>734</v>
      </c>
      <c r="M56" s="395"/>
      <c r="N56" s="509"/>
      <c r="O56" s="395"/>
      <c r="P56" s="302"/>
      <c r="Q56" s="302"/>
    </row>
    <row r="57" spans="1:17" ht="16.25" customHeight="1" x14ac:dyDescent="0.2">
      <c r="A57" s="549"/>
      <c r="B57" s="379"/>
      <c r="C57" s="830" t="str">
        <f>IF((CELL_N_UpgradeUpdate + CELL_N_Software ) = 2,"",LEFT(INDEX(CELL_SoftwareFullNames,CELL_IndexSoftware),FIND(" ",INDEX(CELL_SoftwareFullNames,CELL_IndexSoftware),FIND(" ",INDEX(CELL_SoftwareFullNames,CELL_IndexSoftware))+1)) &amp;
CELL_YearMostRecent )</f>
        <v/>
      </c>
      <c r="D57" s="830"/>
      <c r="E57" s="387"/>
      <c r="F57" s="387"/>
      <c r="G57" s="358" t="str">
        <f>IF(CELL_OptionXL*(CELL_N_Software+CELL_N_UpgradeUpdate-2)&gt;=((ROW(G57)-ROW($G$39))/4+1),"XLCELL "&amp; CELL_YearMostRecent,"")</f>
        <v/>
      </c>
      <c r="H57" s="314"/>
      <c r="I57" s="314"/>
      <c r="J57" s="358" t="str">
        <f>IF(CELL_N_Software-1&gt;=((ROW(G57)-ROW($G$39))/4+1),IF(N_SystemTotal=0,"Software Only",IF(N_STDScanners+N_LAScanners+N_LCScanners=0,"Software Sans Scanner","Software Avec Scanner")),
IF(CELL_N_UpgradeUpdate-1&gt;=((ROW(G57)-ROW($G$39))/4+1)-(CELL_N_Software-1),"Update",""))</f>
        <v/>
      </c>
      <c r="K57" s="314"/>
      <c r="L57" s="308"/>
      <c r="M57" s="308"/>
      <c r="N57" s="308"/>
      <c r="O57" s="506"/>
      <c r="P57" s="302"/>
      <c r="Q57" s="302"/>
    </row>
    <row r="58" spans="1:17" ht="24" customHeight="1" x14ac:dyDescent="0.2">
      <c r="A58" s="561" t="s">
        <v>268</v>
      </c>
      <c r="B58" s="375" t="s">
        <v>268</v>
      </c>
      <c r="C58" s="507" t="str">
        <f>"☐☐ Win" &amp;
IF(INT((ROW(D58)-10)/30)+1=1,"DEN","")&amp;
IF(INT((ROW(D58)-10)/30)+1=2,"CEL","")&amp;
IF(INT((ROW(D58)-10)/30)+1=3,"RHI","")&amp;
IF(INT((ROW(D58)-10)/30)+1=4,"RT","")&amp;
IF(INT((ROW(D58)-10)/30)+1=5,"FOL","")&amp;
IF(INT((ROW(D58)-10)/30)+1=6,"SEE","")&amp;
IF(INT((ROW(D58)-10)/30)+1=7,"CAM","")&amp;
IF(INT((ROW(D58)-10)/30)+1=8,"SCA","") &amp; ".exe"</f>
        <v>☐☐ WinCEL.exe</v>
      </c>
      <c r="D58" s="507" t="str">
        <f xml:space="preserve"> IF(N("If it is Cam, Do not Show XL")+AND(ROW(D58)&gt;=189,ROW(D58)&lt;=218),"","☐ XL" &amp;
IF(INT((ROW(D58)-10)/30)+1=1,"STEM","")&amp;
IF(INT((ROW(D58)-10)/30)+1=2,"Cell","")&amp;
IF(INT((ROW(D58)-10)/30)+1=3,"Rhizo","")&amp;
IF(INT((ROW(D58)-10)/30)+1=4,"RhizoT","")&amp;
IF(INT((ROW(D58)-10)/30)+1=5,"Folia","")&amp;
IF(INT((ROW(D58)-10)/30)+1=6,"Seedle","")&amp;
IF(INT((ROW(D58)-10)/30)+1=7,"Cam","")&amp;
IF(INT((ROW(D58)-10)/30)+1=8,"Scanopy","") &amp; ".xls")</f>
        <v>☐ XLCell.xls</v>
      </c>
      <c r="E58" s="507" t="s">
        <v>309</v>
      </c>
      <c r="F58" s="508" t="s">
        <v>159</v>
      </c>
      <c r="G58" s="507" t="str">
        <f xml:space="preserve"> IF(N("If it is Cam, Do not Show XL")+AND(ROW(G58)&gt;=189,ROW(G58)&lt;=218),"","☐ XL Man")</f>
        <v>☐ XL Man</v>
      </c>
      <c r="H58" s="508" t="s">
        <v>290</v>
      </c>
      <c r="I58" s="395" t="s">
        <v>284</v>
      </c>
      <c r="J58" s="508" t="str">
        <f>IF(N("Si OR dessous = vrai, pas de box")+OR(
N("1 OR Tron ou CELL")+OR(AND(ROW(E58)&gt;=39,ROW(E58)&lt;=68),AND(ROW(E58)&gt;=99,ROW(E58)&lt;=128)),
N("2 Pas de système scanopy and range opy")+AND(ROW(E58)&gt;=219,ROW(E58)&lt;=248,SCANOPY_N_System&lt;2),
N("3 Avec LC")&amp;IF(ISERROR(LEFT(D57,SEARCH("00",D57)-3)),"",LEFT(D57,SEARCH("00",D57)-3))="LC"),"","☐ ")
&amp;
IF(N("If it's OPY, put OMount Manual instead")+
AND(ROW(D58)&gt;=219,ROW(D58)&lt;=248),
IF(SCANOPY_N_System&gt;1,
IF(SCANOPY_IndexScanner=1,"α" &amp; SCANOPY_CameraModel,SCANOPY_CameraModel_Mini) &amp; " Man",""),
IF(N("If it is Cell or Tron, Do not Show Scanner related items+No Video if LC")+OR(
AND(ROW(E58)&gt;=39,ROW(E58)&lt;=68),
AND(ROW(E58)&gt;=99,ROW(E58)&lt;=128)),
    "", IF(1=N("Si système a un scanner différent du Scanner populaire alors différent, sinon Scanner populaire")+AND(NOT(ISERROR(SEARCH("System",D57))),LEFT(D57,2)&lt;&gt;LEFT(PROD_MostPopularScanner,2)),
LEFT(D57,SEARCH("00",D57)-3),
PROD_MostPopularScanner) &amp; " Install Man"))</f>
        <v/>
      </c>
      <c r="K58" s="507" t="str">
        <f>IF(N("If it is Cell or Tron or OPY, Do not Show Twain")+OR(AND(ROW(K58)&gt;=39,ROW(K58)&lt;=68),AND(ROW(K58)&gt;=99,ROW(K58)&lt;=128),AND(ROW(J58)&gt;=219,ROW(J58)&lt;=248)),"","☐ TWAIN")</f>
        <v/>
      </c>
      <c r="L58" s="508" t="str">
        <f>IF(N("Si OR dessous = vrai, pas de box")+OR(
N("1 OR Dendro+CELL, Tron+Folia,Cam")+OR(
AND(ROW(K58)&gt;=9,ROW(K58)&lt;=68),
AND(ROW(K58)&gt;=99,ROW(K58)&lt;=158),
AND(ROW(K58)&gt;=189,ROW(K58)&lt;=218)),
N("2 Pas de système scanopy and range opy")+AND(ROW(K58)&gt;=219,ROW(K58)&lt;=248,SCANOPY_N_System&lt;2),
N("3 Avec LC")&amp;IF(ISERROR(LEFT(J57,SEARCH("00",J57)-3)),"",LEFT(J57,SEARCH("00",J57)-3))="LC"),"","☐ ")
&amp;
IF(N("If it's OPY, put OMount Manual instead")+
AND(ROW(J58)&gt;=219,ROW(J58)&lt;=248),
IF(SCANOPY_N_System&gt;1,"OMount Man",""),
IF(N("If it is Dendro+CELL, Tron+Folia or Cam, Do not Show Scanner related items+No Video if LC")+OR(
AND(ROW(K58)&gt;=9,ROW(K58)&lt;=68),
AND(ROW(K58)&gt;=99,ROW(K58)&lt;=158),
AND(ROW(K58)&gt;=189,ROW(K58)&lt;=218),
IF(ISERROR(LEFT(J57,SEARCH("00",J57)-3)),"",LEFT(J57,SEARCH("00",J57)-3))="LC"),
    "", "Video " &amp; IF(1=N("Si système a un scanner différent du Scanner populaire alors différent, sinon Scanner populaire")+AND(NOT(ISERROR(SEARCH("System",J57))),LEFT(J57,2)&lt;&gt;LEFT(PROD_MostPopularScanner,2)),
LEFT(J57,SEARCH("00",J57)-3),
PROD_MostPopularScanner) &amp; " Install"))</f>
        <v/>
      </c>
      <c r="M58" s="507" t="str">
        <f>IF(N("If it is Dendro or Tron, Do not Show Color Analysis Video")+
OR(AND(ROW(L58)&gt;=9,ROW(L58)&lt;=38),
AND(ROW(L58)&gt;=99,ROW(L58)&lt;=128)), "","☐ Video ClrAna")</f>
        <v>☐ Video ClrAna</v>
      </c>
      <c r="N58" s="508" t="str">
        <f>IF(OR(INT((ROW(D58)-10)/30)+1=2,INT((ROW(D58)-10)/30)+1=4),"","☐ ")&amp;
IF(INT((ROW(D58)-10)/30)+1=1,"Scanner.cal","")&amp;
IF(INT((ROW(D58)-10)/30)+1=2,"","")&amp;
IF(INT((ROW(D58)-10)/30)+1=3,"Scanner.cal","")&amp;
IF(INT((ROW(D58)-10)/30)+1=4,"","")&amp;
IF(INT((ROW(D58)-10)/30)+1=5,"Scanner.cal","")&amp;
IF(INT((ROW(D58)-10)/30)+1=6,"Scanner.cal","")&amp;
IF(INT((ROW(D58)-10)/30)+1=7,"Scanner.cal","")&amp;
IF(INT((ROW(D58)-10)/30)+1=8,IF(SCANOPY_Camera, "Indiv", "Gen")&amp; " Lens.cal","")</f>
        <v/>
      </c>
      <c r="O58" s="395" t="str">
        <f>IF(AND(ROW(L58)&gt;=9,ROW(L58)&lt;=38),"☐ RegentTarget.blu","")</f>
        <v/>
      </c>
      <c r="P58" s="302"/>
      <c r="Q58" s="302"/>
    </row>
    <row r="59" spans="1:17" ht="24" customHeight="1" x14ac:dyDescent="0.2">
      <c r="A59" s="561" t="s">
        <v>269</v>
      </c>
      <c r="B59" s="311" t="s">
        <v>269</v>
      </c>
      <c r="C59" s="395" t="s">
        <v>159</v>
      </c>
      <c r="D59" s="395" t="str">
        <f xml:space="preserve"> IF(N("If it is Cam, Do not Show XL")+AND(ROW(D59)&gt;=189,ROW(D59)&lt;=218),"","☐ XL Man")</f>
        <v>☐ XL Man</v>
      </c>
      <c r="E59" s="570" t="str">
        <f>IF(N("Si OR dessous = vrai, pas de box")+OR(
N("1 OR Tron ou CELL")+OR(AND(ROW(K58)&gt;=39,ROW(K58)&lt;=68),AND(ROW(K58)&gt;=99,ROW(K58)&lt;=128)),
N("2 Pas de système scanopy and range opy")+AND(ROW(K58)&gt;=219,ROW(K58)&lt;=248,SCANOPY_N_System&lt;2),
N("3 Avec LC")&amp;IF(ISERROR(LEFT(J57,SEARCH("00",J57)-3)),"",LEFT(J57,SEARCH("00",J57)-3))="LC"),"","☐ ")
&amp;
IF(N("If it's OPY, put OMount Manual instead")+
AND(ROW(J58)&gt;=219,ROW(J58)&lt;=248),
IF(SCANOPY_N_System&gt;1,"OMount Man",""),
IF(N("If it is Cell or Tron, Do not Show Scanner related items")+OR(
AND(ROW(K58)&gt;=39,ROW(K58)&lt;=68),
AND(ROW(K58)&gt;=99,ROW(K58)&lt;=128)),
    "", IF(1=N("Si système a un scanner différent du Scanner populaire alors différent, sinon Scanner populaire")+AND(NOT(ISERROR(SEARCH("System",J57))),LEFT(J57,2)&lt;&gt;LEFT(PROD_MostPopularScanner,2)),
LEFT(J57,SEARCH("00",J57)-3),
PROD_MostPopularScanner) &amp; " Install Man"))</f>
        <v/>
      </c>
      <c r="F59" s="509" t="s">
        <v>285</v>
      </c>
      <c r="G59" s="395" t="s">
        <v>284</v>
      </c>
      <c r="H59" s="572" t="s">
        <v>260</v>
      </c>
      <c r="I59" s="510"/>
      <c r="J59" s="395" t="s">
        <v>160</v>
      </c>
      <c r="K59" s="353"/>
      <c r="L59" s="572" t="s">
        <v>734</v>
      </c>
      <c r="M59" s="395"/>
      <c r="N59" s="509"/>
      <c r="O59" s="395"/>
      <c r="P59" s="302"/>
      <c r="Q59" s="302"/>
    </row>
    <row r="60" spans="1:17" ht="16.25" customHeight="1" x14ac:dyDescent="0.2">
      <c r="A60" s="549"/>
      <c r="B60" s="379"/>
      <c r="C60" s="830" t="str">
        <f>IF((CELL_N_UpgradeUpdate + CELL_N_Software ) = 2,"",LEFT(INDEX(CELL_SoftwareFullNames,CELL_IndexSoftware),FIND(" ",INDEX(CELL_SoftwareFullNames,CELL_IndexSoftware),FIND(" ",INDEX(CELL_SoftwareFullNames,CELL_IndexSoftware))+1)) &amp;
CELL_YearMostRecent )</f>
        <v/>
      </c>
      <c r="D60" s="830"/>
      <c r="E60" s="387"/>
      <c r="F60" s="387"/>
      <c r="G60" s="358" t="str">
        <f>IF(CELL_OptionXL*(CELL_N_Software+CELL_N_UpgradeUpdate-2)&gt;=((ROW(G60)-ROW($G$39))/4+1),"XLCELL "&amp; CELL_YearMostRecent,"")</f>
        <v/>
      </c>
      <c r="H60" s="314"/>
      <c r="I60" s="314"/>
      <c r="J60" s="358" t="str">
        <f>IF(CELL_N_Software-1&gt;=((ROW(G60)-ROW($G$39))/4+1),IF(N_SystemTotal=0,"Software Only",IF(N_STDScanners+N_LAScanners+N_LCScanners=0,"Software Sans Scanner","Software Avec Scanner")),
IF(CELL_N_UpgradeUpdate-1&gt;=((ROW(G60)-ROW($G$39))/4+1)-(CELL_N_Software-1),"Update",""))</f>
        <v/>
      </c>
      <c r="K60" s="314"/>
      <c r="L60" s="308"/>
      <c r="M60" s="308"/>
      <c r="N60" s="308"/>
      <c r="O60" s="506"/>
      <c r="P60" s="302"/>
      <c r="Q60" s="302"/>
    </row>
    <row r="61" spans="1:17" ht="24" customHeight="1" x14ac:dyDescent="0.2">
      <c r="A61" s="561" t="s">
        <v>268</v>
      </c>
      <c r="B61" s="375" t="s">
        <v>268</v>
      </c>
      <c r="C61" s="507" t="str">
        <f>"☐☐ Win" &amp;
IF(INT((ROW(D61)-10)/30)+1=1,"DEN","")&amp;
IF(INT((ROW(D61)-10)/30)+1=2,"CEL","")&amp;
IF(INT((ROW(D61)-10)/30)+1=3,"RHI","")&amp;
IF(INT((ROW(D61)-10)/30)+1=4,"RT","")&amp;
IF(INT((ROW(D61)-10)/30)+1=5,"FOL","")&amp;
IF(INT((ROW(D61)-10)/30)+1=6,"SEE","")&amp;
IF(INT((ROW(D61)-10)/30)+1=7,"CAM","")&amp;
IF(INT((ROW(D61)-10)/30)+1=8,"SCA","") &amp; ".exe"</f>
        <v>☐☐ WinCEL.exe</v>
      </c>
      <c r="D61" s="507" t="str">
        <f xml:space="preserve"> IF(N("If it is Cam, Do not Show XL")+AND(ROW(D61)&gt;=189,ROW(D61)&lt;=218),"","☐ XL" &amp;
IF(INT((ROW(D61)-10)/30)+1=1,"STEM","")&amp;
IF(INT((ROW(D61)-10)/30)+1=2,"Cell","")&amp;
IF(INT((ROW(D61)-10)/30)+1=3,"Rhizo","")&amp;
IF(INT((ROW(D61)-10)/30)+1=4,"RhizoT","")&amp;
IF(INT((ROW(D61)-10)/30)+1=5,"Folia","")&amp;
IF(INT((ROW(D61)-10)/30)+1=6,"Seedle","")&amp;
IF(INT((ROW(D61)-10)/30)+1=7,"Cam","")&amp;
IF(INT((ROW(D61)-10)/30)+1=8,"Scanopy","") &amp; ".xls")</f>
        <v>☐ XLCell.xls</v>
      </c>
      <c r="E61" s="507" t="s">
        <v>309</v>
      </c>
      <c r="F61" s="508" t="s">
        <v>159</v>
      </c>
      <c r="G61" s="507" t="str">
        <f xml:space="preserve"> IF(N("If it is Cam, Do not Show XL")+AND(ROW(G61)&gt;=189,ROW(G61)&lt;=218),"","☐ XL Man")</f>
        <v>☐ XL Man</v>
      </c>
      <c r="H61" s="508" t="s">
        <v>290</v>
      </c>
      <c r="I61" s="395" t="s">
        <v>284</v>
      </c>
      <c r="J61" s="508" t="str">
        <f>IF(N("Si OR dessous = vrai, pas de box")+OR(
N("1 OR Tron ou CELL")+OR(AND(ROW(E61)&gt;=39,ROW(E61)&lt;=68),AND(ROW(E61)&gt;=99,ROW(E61)&lt;=128)),
N("2 Pas de système scanopy and range opy")+AND(ROW(E61)&gt;=219,ROW(E61)&lt;=248,SCANOPY_N_System&lt;2),
N("3 Avec LC")&amp;IF(ISERROR(LEFT(D60,SEARCH("00",D60)-3)),"",LEFT(D60,SEARCH("00",D60)-3))="LC"),"","☐ ")
&amp;
IF(N("If it's OPY, put OMount Manual instead")+
AND(ROW(D61)&gt;=219,ROW(D61)&lt;=248),
IF(SCANOPY_N_System&gt;1,
IF(SCANOPY_IndexScanner=1,"α" &amp; SCANOPY_CameraModel,SCANOPY_CameraModel_Mini) &amp; " Man",""),
IF(N("If it is Cell or Tron, Do not Show Scanner related items+No Video if LC")+OR(
AND(ROW(E61)&gt;=39,ROW(E61)&lt;=68),
AND(ROW(E61)&gt;=99,ROW(E61)&lt;=128)),
    "", IF(1=N("Si système a un scanner différent du Scanner populaire alors différent, sinon Scanner populaire")+AND(NOT(ISERROR(SEARCH("System",D60))),LEFT(D60,2)&lt;&gt;LEFT(PROD_MostPopularScanner,2)),
LEFT(D60,SEARCH("00",D60)-3),
PROD_MostPopularScanner) &amp; " Install Man"))</f>
        <v/>
      </c>
      <c r="K61" s="507" t="str">
        <f>IF(N("If it is Cell or Tron or OPY, Do not Show Twain")+OR(AND(ROW(K61)&gt;=39,ROW(K61)&lt;=68),AND(ROW(K61)&gt;=99,ROW(K61)&lt;=128),AND(ROW(J61)&gt;=219,ROW(J61)&lt;=248)),"","☐ TWAIN")</f>
        <v/>
      </c>
      <c r="L61" s="508" t="str">
        <f>IF(N("Si OR dessous = vrai, pas de box")+OR(
N("1 OR Dendro+CELL, Tron+Folia,Cam")+OR(
AND(ROW(K61)&gt;=9,ROW(K61)&lt;=68),
AND(ROW(K61)&gt;=99,ROW(K61)&lt;=158),
AND(ROW(K61)&gt;=189,ROW(K61)&lt;=218)),
N("2 Pas de système scanopy and range opy")+AND(ROW(K61)&gt;=219,ROW(K61)&lt;=248,SCANOPY_N_System&lt;2),
N("3 Avec LC")&amp;IF(ISERROR(LEFT(J60,SEARCH("00",J60)-3)),"",LEFT(J60,SEARCH("00",J60)-3))="LC"),"","☐ ")
&amp;
IF(N("If it's OPY, put OMount Manual instead")+
AND(ROW(J61)&gt;=219,ROW(J61)&lt;=248),
IF(SCANOPY_N_System&gt;1,"OMount Man",""),
IF(N("If it is Dendro+CELL, Tron+Folia or Cam, Do not Show Scanner related items+No Video if LC")+OR(
AND(ROW(K61)&gt;=9,ROW(K61)&lt;=68),
AND(ROW(K61)&gt;=99,ROW(K61)&lt;=158),
AND(ROW(K61)&gt;=189,ROW(K61)&lt;=218),
IF(ISERROR(LEFT(J60,SEARCH("00",J60)-3)),"",LEFT(J60,SEARCH("00",J60)-3))="LC"),
    "", "Video " &amp; IF(1=N("Si système a un scanner différent du Scanner populaire alors différent, sinon Scanner populaire")+AND(NOT(ISERROR(SEARCH("System",J60))),LEFT(J60,2)&lt;&gt;LEFT(PROD_MostPopularScanner,2)),
LEFT(J60,SEARCH("00",J60)-3),
PROD_MostPopularScanner) &amp; " Install"))</f>
        <v/>
      </c>
      <c r="M61" s="507" t="str">
        <f>IF(N("If it is Dendro or Tron, Do not Show Color Analysis Video")+
OR(AND(ROW(L61)&gt;=9,ROW(L61)&lt;=38),
AND(ROW(L61)&gt;=99,ROW(L61)&lt;=128)), "","☐ Video ClrAna")</f>
        <v>☐ Video ClrAna</v>
      </c>
      <c r="N61" s="508" t="str">
        <f>IF(OR(INT((ROW(D61)-10)/30)+1=2,INT((ROW(D61)-10)/30)+1=4),"","☐ ")&amp;
IF(INT((ROW(D61)-10)/30)+1=1,"Scanner.cal","")&amp;
IF(INT((ROW(D61)-10)/30)+1=2,"","")&amp;
IF(INT((ROW(D61)-10)/30)+1=3,"Scanner.cal","")&amp;
IF(INT((ROW(D61)-10)/30)+1=4,"","")&amp;
IF(INT((ROW(D61)-10)/30)+1=5,"Scanner.cal","")&amp;
IF(INT((ROW(D61)-10)/30)+1=6,"Scanner.cal","")&amp;
IF(INT((ROW(D61)-10)/30)+1=7,"Scanner.cal","")&amp;
IF(INT((ROW(D61)-10)/30)+1=8,IF(SCANOPY_Camera, "Indiv", "Gen")&amp; " Lens.cal","")</f>
        <v/>
      </c>
      <c r="O61" s="395" t="str">
        <f>IF(AND(ROW(L61)&gt;=9,ROW(L61)&lt;=38),"☐ RegentTarget.blu","")</f>
        <v/>
      </c>
      <c r="P61" s="302"/>
      <c r="Q61" s="302"/>
    </row>
    <row r="62" spans="1:17" ht="24" customHeight="1" x14ac:dyDescent="0.2">
      <c r="A62" s="561" t="s">
        <v>269</v>
      </c>
      <c r="B62" s="311" t="s">
        <v>269</v>
      </c>
      <c r="C62" s="395" t="s">
        <v>159</v>
      </c>
      <c r="D62" s="395" t="str">
        <f xml:space="preserve"> IF(N("If it is Cam, Do not Show XL")+AND(ROW(D62)&gt;=189,ROW(D62)&lt;=218),"","☐ XL Man")</f>
        <v>☐ XL Man</v>
      </c>
      <c r="E62" s="570" t="str">
        <f>IF(N("Si OR dessous = vrai, pas de box")+OR(
N("1 OR Tron ou CELL")+OR(AND(ROW(K61)&gt;=39,ROW(K61)&lt;=68),AND(ROW(K61)&gt;=99,ROW(K61)&lt;=128)),
N("2 Pas de système scanopy and range opy")+AND(ROW(K61)&gt;=219,ROW(K61)&lt;=248,SCANOPY_N_System&lt;2),
N("3 Avec LC")&amp;IF(ISERROR(LEFT(J60,SEARCH("00",J60)-3)),"",LEFT(J60,SEARCH("00",J60)-3))="LC"),"","☐ ")
&amp;
IF(N("If it's OPY, put OMount Manual instead")+
AND(ROW(J61)&gt;=219,ROW(J61)&lt;=248),
IF(SCANOPY_N_System&gt;1,"OMount Man",""),
IF(N("If it is Cell or Tron, Do not Show Scanner related items")+OR(
AND(ROW(K61)&gt;=39,ROW(K61)&lt;=68),
AND(ROW(K61)&gt;=99,ROW(K61)&lt;=128)),
    "", IF(1=N("Si système a un scanner différent du Scanner populaire alors différent, sinon Scanner populaire")+AND(NOT(ISERROR(SEARCH("System",J60))),LEFT(J60,2)&lt;&gt;LEFT(PROD_MostPopularScanner,2)),
LEFT(J60,SEARCH("00",J60)-3),
PROD_MostPopularScanner) &amp; " Install Man"))</f>
        <v/>
      </c>
      <c r="F62" s="509" t="s">
        <v>285</v>
      </c>
      <c r="G62" s="395" t="s">
        <v>284</v>
      </c>
      <c r="H62" s="572" t="s">
        <v>260</v>
      </c>
      <c r="I62" s="510"/>
      <c r="J62" s="395" t="s">
        <v>160</v>
      </c>
      <c r="K62" s="353"/>
      <c r="L62" s="572" t="s">
        <v>734</v>
      </c>
      <c r="M62" s="395"/>
      <c r="N62" s="509"/>
      <c r="O62" s="395"/>
      <c r="P62" s="302"/>
      <c r="Q62" s="302"/>
    </row>
    <row r="63" spans="1:17" ht="16.25" customHeight="1" x14ac:dyDescent="0.2">
      <c r="A63" s="549"/>
      <c r="B63" s="379"/>
      <c r="C63" s="830" t="str">
        <f>IF((CELL_N_UpgradeUpdate + CELL_N_Software ) = 2,"",LEFT(INDEX(CELL_SoftwareFullNames,CELL_IndexSoftware),FIND(" ",INDEX(CELL_SoftwareFullNames,CELL_IndexSoftware),FIND(" ",INDEX(CELL_SoftwareFullNames,CELL_IndexSoftware))+1)) &amp;
CELL_YearMostRecent )</f>
        <v/>
      </c>
      <c r="D63" s="830"/>
      <c r="E63" s="387"/>
      <c r="F63" s="387"/>
      <c r="G63" s="358" t="str">
        <f>IF(CELL_OptionXL*(CELL_N_Software+CELL_N_UpgradeUpdate-2)&gt;=((ROW(G63)-ROW($G$39))/4+1),"XLCELL "&amp; CELL_YearMostRecent,"")</f>
        <v/>
      </c>
      <c r="H63" s="314"/>
      <c r="I63" s="314"/>
      <c r="J63" s="358" t="str">
        <f>IF(CELL_N_Software-1&gt;=((ROW(G63)-ROW($G$39))/4+1),IF(N_SystemTotal=0,"Software Only",IF(N_STDScanners+N_LAScanners+N_LCScanners=0,"Software Sans Scanner","Software Avec Scanner")),
IF(CELL_N_UpgradeUpdate-1&gt;=((ROW(G63)-ROW($G$39))/4+1)-(CELL_N_Software-1),"Update",""))</f>
        <v/>
      </c>
      <c r="K63" s="314"/>
      <c r="L63" s="308"/>
      <c r="M63" s="308"/>
      <c r="N63" s="308"/>
      <c r="O63" s="506"/>
      <c r="P63" s="302"/>
      <c r="Q63" s="302"/>
    </row>
    <row r="64" spans="1:17" ht="24" customHeight="1" x14ac:dyDescent="0.2">
      <c r="A64" s="561" t="s">
        <v>268</v>
      </c>
      <c r="B64" s="375" t="s">
        <v>268</v>
      </c>
      <c r="C64" s="507" t="str">
        <f>"☐☐ Win" &amp;
IF(INT((ROW(D64)-10)/30)+1=1,"DEN","")&amp;
IF(INT((ROW(D64)-10)/30)+1=2,"CEL","")&amp;
IF(INT((ROW(D64)-10)/30)+1=3,"RHI","")&amp;
IF(INT((ROW(D64)-10)/30)+1=4,"RT","")&amp;
IF(INT((ROW(D64)-10)/30)+1=5,"FOL","")&amp;
IF(INT((ROW(D64)-10)/30)+1=6,"SEE","")&amp;
IF(INT((ROW(D64)-10)/30)+1=7,"CAM","")&amp;
IF(INT((ROW(D64)-10)/30)+1=8,"SCA","") &amp; ".exe"</f>
        <v>☐☐ WinCEL.exe</v>
      </c>
      <c r="D64" s="507" t="str">
        <f xml:space="preserve"> IF(N("If it is Cam, Do not Show XL")+AND(ROW(D64)&gt;=189,ROW(D64)&lt;=218),"","☐ XL" &amp;
IF(INT((ROW(D64)-10)/30)+1=1,"STEM","")&amp;
IF(INT((ROW(D64)-10)/30)+1=2,"Cell","")&amp;
IF(INT((ROW(D64)-10)/30)+1=3,"Rhizo","")&amp;
IF(INT((ROW(D64)-10)/30)+1=4,"RhizoT","")&amp;
IF(INT((ROW(D64)-10)/30)+1=5,"Folia","")&amp;
IF(INT((ROW(D64)-10)/30)+1=6,"Seedle","")&amp;
IF(INT((ROW(D64)-10)/30)+1=7,"Cam","")&amp;
IF(INT((ROW(D64)-10)/30)+1=8,"Scanopy","") &amp; ".xls")</f>
        <v>☐ XLCell.xls</v>
      </c>
      <c r="E64" s="507" t="s">
        <v>309</v>
      </c>
      <c r="F64" s="508" t="s">
        <v>159</v>
      </c>
      <c r="G64" s="507" t="str">
        <f xml:space="preserve"> IF(N("If it is Cam, Do not Show XL")+AND(ROW(G64)&gt;=189,ROW(G64)&lt;=218),"","☐ XL Man")</f>
        <v>☐ XL Man</v>
      </c>
      <c r="H64" s="508" t="s">
        <v>290</v>
      </c>
      <c r="I64" s="395" t="s">
        <v>284</v>
      </c>
      <c r="J64" s="508" t="str">
        <f>IF(N("Si OR dessous = vrai, pas de box")+OR(
N("1 OR Tron ou CELL")+OR(AND(ROW(E64)&gt;=39,ROW(E64)&lt;=68),AND(ROW(E64)&gt;=99,ROW(E64)&lt;=128)),
N("2 Pas de système scanopy and range opy")+AND(ROW(E64)&gt;=219,ROW(E64)&lt;=248,SCANOPY_N_System&lt;2),
N("3 Avec LC")&amp;IF(ISERROR(LEFT(D63,SEARCH("00",D63)-3)),"",LEFT(D63,SEARCH("00",D63)-3))="LC"),"","☐ ")
&amp;
IF(N("If it's OPY, put OMount Manual instead")+
AND(ROW(D64)&gt;=219,ROW(D64)&lt;=248),
IF(SCANOPY_N_System&gt;1,
IF(SCANOPY_IndexScanner=1,"α" &amp; SCANOPY_CameraModel,SCANOPY_CameraModel_Mini) &amp; " Man",""),
IF(N("If it is Cell or Tron, Do not Show Scanner related items+No Video if LC")+OR(
AND(ROW(E64)&gt;=39,ROW(E64)&lt;=68),
AND(ROW(E64)&gt;=99,ROW(E64)&lt;=128)),
    "", IF(1=N("Si système a un scanner différent du Scanner populaire alors différent, sinon Scanner populaire")+AND(NOT(ISERROR(SEARCH("System",D63))),LEFT(D63,2)&lt;&gt;LEFT(PROD_MostPopularScanner,2)),
LEFT(D63,SEARCH("00",D63)-3),
PROD_MostPopularScanner) &amp; " Install Man"))</f>
        <v/>
      </c>
      <c r="K64" s="507" t="str">
        <f>IF(N("If it is Cell or Tron or OPY, Do not Show Twain")+OR(AND(ROW(K64)&gt;=39,ROW(K64)&lt;=68),AND(ROW(K64)&gt;=99,ROW(K64)&lt;=128),AND(ROW(J64)&gt;=219,ROW(J64)&lt;=248)),"","☐ TWAIN")</f>
        <v/>
      </c>
      <c r="L64" s="508" t="str">
        <f>IF(N("Si OR dessous = vrai, pas de box")+OR(
N("1 OR Dendro+CELL, Tron+Folia,Cam")+OR(
AND(ROW(K64)&gt;=9,ROW(K64)&lt;=68),
AND(ROW(K64)&gt;=99,ROW(K64)&lt;=158),
AND(ROW(K64)&gt;=189,ROW(K64)&lt;=218)),
N("2 Pas de système scanopy and range opy")+AND(ROW(K64)&gt;=219,ROW(K64)&lt;=248,SCANOPY_N_System&lt;2),
N("3 Avec LC")&amp;IF(ISERROR(LEFT(J63,SEARCH("00",J63)-3)),"",LEFT(J63,SEARCH("00",J63)-3))="LC"),"","☐ ")
&amp;
IF(N("If it's OPY, put OMount Manual instead")+
AND(ROW(J64)&gt;=219,ROW(J64)&lt;=248),
IF(SCANOPY_N_System&gt;1,"OMount Man",""),
IF(N("If it is Dendro+CELL, Tron+Folia or Cam, Do not Show Scanner related items+No Video if LC")+OR(
AND(ROW(K64)&gt;=9,ROW(K64)&lt;=68),
AND(ROW(K64)&gt;=99,ROW(K64)&lt;=158),
AND(ROW(K64)&gt;=189,ROW(K64)&lt;=218),
IF(ISERROR(LEFT(J63,SEARCH("00",J63)-3)),"",LEFT(J63,SEARCH("00",J63)-3))="LC"),
    "", "Video " &amp; IF(1=N("Si système a un scanner différent du Scanner populaire alors différent, sinon Scanner populaire")+AND(NOT(ISERROR(SEARCH("System",J63))),LEFT(J63,2)&lt;&gt;LEFT(PROD_MostPopularScanner,2)),
LEFT(J63,SEARCH("00",J63)-3),
PROD_MostPopularScanner) &amp; " Install"))</f>
        <v/>
      </c>
      <c r="M64" s="507" t="str">
        <f>IF(N("If it is Dendro or Tron, Do not Show Color Analysis Video")+
OR(AND(ROW(L64)&gt;=9,ROW(L64)&lt;=38),
AND(ROW(L64)&gt;=99,ROW(L64)&lt;=128)), "","☐ Video ClrAna")</f>
        <v>☐ Video ClrAna</v>
      </c>
      <c r="N64" s="508" t="str">
        <f>IF(OR(INT((ROW(D64)-10)/30)+1=2,INT((ROW(D64)-10)/30)+1=4),"","☐ ")&amp;
IF(INT((ROW(D64)-10)/30)+1=1,"Scanner.cal","")&amp;
IF(INT((ROW(D64)-10)/30)+1=2,"","")&amp;
IF(INT((ROW(D64)-10)/30)+1=3,"Scanner.cal","")&amp;
IF(INT((ROW(D64)-10)/30)+1=4,"","")&amp;
IF(INT((ROW(D64)-10)/30)+1=5,"Scanner.cal","")&amp;
IF(INT((ROW(D64)-10)/30)+1=6,"Scanner.cal","")&amp;
IF(INT((ROW(D64)-10)/30)+1=7,"Scanner.cal","")&amp;
IF(INT((ROW(D64)-10)/30)+1=8,IF(SCANOPY_Camera, "Indiv", "Gen")&amp; " Lens.cal","")</f>
        <v/>
      </c>
      <c r="O64" s="395" t="str">
        <f>IF(AND(ROW(L64)&gt;=9,ROW(L64)&lt;=38),"☐ RegentTarget.blu","")</f>
        <v/>
      </c>
      <c r="P64" s="302"/>
      <c r="Q64" s="302"/>
    </row>
    <row r="65" spans="1:17" ht="24" customHeight="1" x14ac:dyDescent="0.2">
      <c r="A65" s="561" t="s">
        <v>269</v>
      </c>
      <c r="B65" s="311" t="s">
        <v>269</v>
      </c>
      <c r="C65" s="395" t="s">
        <v>159</v>
      </c>
      <c r="D65" s="395" t="str">
        <f xml:space="preserve"> IF(N("If it is Cam, Do not Show XL")+AND(ROW(D65)&gt;=189,ROW(D65)&lt;=218),"","☐ XL Man")</f>
        <v>☐ XL Man</v>
      </c>
      <c r="E65" s="570" t="str">
        <f>IF(N("Si OR dessous = vrai, pas de box")+OR(
N("1 OR Tron ou CELL")+OR(AND(ROW(K64)&gt;=39,ROW(K64)&lt;=68),AND(ROW(K64)&gt;=99,ROW(K64)&lt;=128)),
N("2 Pas de système scanopy and range opy")+AND(ROW(K64)&gt;=219,ROW(K64)&lt;=248,SCANOPY_N_System&lt;2),
N("3 Avec LC")&amp;IF(ISERROR(LEFT(J63,SEARCH("00",J63)-3)),"",LEFT(J63,SEARCH("00",J63)-3))="LC"),"","☐ ")
&amp;
IF(N("If it's OPY, put OMount Manual instead")+
AND(ROW(J64)&gt;=219,ROW(J64)&lt;=248),
IF(SCANOPY_N_System&gt;1,"OMount Man",""),
IF(N("If it is Cell or Tron, Do not Show Scanner related items")+OR(
AND(ROW(K64)&gt;=39,ROW(K64)&lt;=68),
AND(ROW(K64)&gt;=99,ROW(K64)&lt;=128)),
    "", IF(1=N("Si système a un scanner différent du Scanner populaire alors différent, sinon Scanner populaire")+AND(NOT(ISERROR(SEARCH("System",J63))),LEFT(J63,2)&lt;&gt;LEFT(PROD_MostPopularScanner,2)),
LEFT(J63,SEARCH("00",J63)-3),
PROD_MostPopularScanner) &amp; " Install Man"))</f>
        <v/>
      </c>
      <c r="F65" s="509" t="s">
        <v>285</v>
      </c>
      <c r="G65" s="395" t="s">
        <v>284</v>
      </c>
      <c r="H65" s="572" t="s">
        <v>260</v>
      </c>
      <c r="I65" s="510"/>
      <c r="J65" s="395" t="s">
        <v>160</v>
      </c>
      <c r="K65" s="353"/>
      <c r="L65" s="572" t="s">
        <v>734</v>
      </c>
      <c r="M65" s="395"/>
      <c r="N65" s="509"/>
      <c r="O65" s="395"/>
      <c r="P65" s="302"/>
      <c r="Q65" s="302"/>
    </row>
    <row r="66" spans="1:17" ht="16.25" customHeight="1" x14ac:dyDescent="0.2">
      <c r="A66" s="549"/>
      <c r="B66" s="379"/>
      <c r="C66" s="830" t="str">
        <f>IF((CELL_N_UpgradeUpdate + CELL_N_Software ) = 2,"",LEFT(INDEX(CELL_SoftwareFullNames,CELL_IndexSoftware),FIND(" ",INDEX(CELL_SoftwareFullNames,CELL_IndexSoftware),FIND(" ",INDEX(CELL_SoftwareFullNames,CELL_IndexSoftware))+1)) &amp;
CELL_YearMostRecent )</f>
        <v/>
      </c>
      <c r="D66" s="830"/>
      <c r="E66" s="387"/>
      <c r="F66" s="387"/>
      <c r="G66" s="358" t="str">
        <f>IF(CELL_OptionXL*(CELL_N_Software+CELL_N_UpgradeUpdate-2)&gt;=((ROW(G66)-ROW($G$39))/4+1),"XLCELL "&amp; CELL_YearMostRecent,"")</f>
        <v/>
      </c>
      <c r="H66" s="314"/>
      <c r="I66" s="314"/>
      <c r="J66" s="358" t="str">
        <f>IF(CELL_N_Software-1&gt;=((ROW(G66)-ROW($G$39))/4+1),IF(N_SystemTotal=0,"Software Only",IF(N_STDScanners+N_LAScanners+N_LCScanners=0,"Software Sans Scanner","Software Avec Scanner")),
IF(CELL_N_UpgradeUpdate-1&gt;=((ROW(G66)-ROW($G$39))/4+1)-(CELL_N_Software-1),"Update",""))</f>
        <v/>
      </c>
      <c r="K66" s="314"/>
      <c r="L66" s="308"/>
      <c r="M66" s="308"/>
      <c r="N66" s="308"/>
      <c r="O66" s="506"/>
      <c r="P66" s="302"/>
      <c r="Q66" s="302"/>
    </row>
    <row r="67" spans="1:17" ht="24" customHeight="1" x14ac:dyDescent="0.2">
      <c r="A67" s="561" t="s">
        <v>268</v>
      </c>
      <c r="B67" s="375" t="s">
        <v>268</v>
      </c>
      <c r="C67" s="507" t="str">
        <f>"☐☐ Win" &amp;
IF(INT((ROW(D67)-10)/30)+1=1,"DEN","")&amp;
IF(INT((ROW(D67)-10)/30)+1=2,"CEL","")&amp;
IF(INT((ROW(D67)-10)/30)+1=3,"RHI","")&amp;
IF(INT((ROW(D67)-10)/30)+1=4,"RT","")&amp;
IF(INT((ROW(D67)-10)/30)+1=5,"FOL","")&amp;
IF(INT((ROW(D67)-10)/30)+1=6,"SEE","")&amp;
IF(INT((ROW(D67)-10)/30)+1=7,"CAM","")&amp;
IF(INT((ROW(D67)-10)/30)+1=8,"SCA","") &amp; ".exe"</f>
        <v>☐☐ WinCEL.exe</v>
      </c>
      <c r="D67" s="507" t="str">
        <f xml:space="preserve"> IF(N("If it is Cam, Do not Show XL")+AND(ROW(D67)&gt;=189,ROW(D67)&lt;=218),"","☐ XL" &amp;
IF(INT((ROW(D67)-10)/30)+1=1,"STEM","")&amp;
IF(INT((ROW(D67)-10)/30)+1=2,"Cell","")&amp;
IF(INT((ROW(D67)-10)/30)+1=3,"Rhizo","")&amp;
IF(INT((ROW(D67)-10)/30)+1=4,"RhizoT","")&amp;
IF(INT((ROW(D67)-10)/30)+1=5,"Folia","")&amp;
IF(INT((ROW(D67)-10)/30)+1=6,"Seedle","")&amp;
IF(INT((ROW(D67)-10)/30)+1=7,"Cam","")&amp;
IF(INT((ROW(D67)-10)/30)+1=8,"Scanopy","") &amp; ".xls")</f>
        <v>☐ XLCell.xls</v>
      </c>
      <c r="E67" s="507" t="s">
        <v>309</v>
      </c>
      <c r="F67" s="508" t="s">
        <v>159</v>
      </c>
      <c r="G67" s="507" t="str">
        <f xml:space="preserve"> IF(N("If it is Cam, Do not Show XL")+AND(ROW(G67)&gt;=189,ROW(G67)&lt;=218),"","☐ XL Man")</f>
        <v>☐ XL Man</v>
      </c>
      <c r="H67" s="508" t="s">
        <v>290</v>
      </c>
      <c r="I67" s="395" t="s">
        <v>284</v>
      </c>
      <c r="J67" s="508" t="str">
        <f>IF(N("Si OR dessous = vrai, pas de box")+OR(
N("1 OR Tron ou CELL")+OR(AND(ROW(E67)&gt;=39,ROW(E67)&lt;=68),AND(ROW(E67)&gt;=99,ROW(E67)&lt;=128)),
N("2 Pas de système scanopy and range opy")+AND(ROW(E67)&gt;=219,ROW(E67)&lt;=248,SCANOPY_N_System&lt;2),
N("3 Avec LC")&amp;IF(ISERROR(LEFT(D66,SEARCH("00",D66)-3)),"",LEFT(D66,SEARCH("00",D66)-3))="LC"),"","☐ ")
&amp;
IF(N("If it's OPY, put OMount Manual instead")+
AND(ROW(D67)&gt;=219,ROW(D67)&lt;=248),
IF(SCANOPY_N_System&gt;1,
IF(SCANOPY_IndexScanner=1,"α" &amp; SCANOPY_CameraModel,SCANOPY_CameraModel_Mini) &amp; " Man",""),
IF(N("If it is Cell or Tron, Do not Show Scanner related items+No Video if LC")+OR(
AND(ROW(E67)&gt;=39,ROW(E67)&lt;=68),
AND(ROW(E67)&gt;=99,ROW(E67)&lt;=128)),
    "", IF(1=N("Si système a un scanner différent du Scanner populaire alors différent, sinon Scanner populaire")+AND(NOT(ISERROR(SEARCH("System",D66))),LEFT(D66,2)&lt;&gt;LEFT(PROD_MostPopularScanner,2)),
LEFT(D66,SEARCH("00",D66)-3),
PROD_MostPopularScanner) &amp; " Install Man"))</f>
        <v/>
      </c>
      <c r="K67" s="507" t="str">
        <f>IF(N("If it is Cell or Tron or OPY, Do not Show Twain")+OR(AND(ROW(K67)&gt;=39,ROW(K67)&lt;=68),AND(ROW(K67)&gt;=99,ROW(K67)&lt;=128),AND(ROW(J67)&gt;=219,ROW(J67)&lt;=248)),"","☐ TWAIN")</f>
        <v/>
      </c>
      <c r="L67" s="508" t="str">
        <f>IF(N("Si OR dessous = vrai, pas de box")+OR(
N("1 OR Dendro+CELL, Tron+Folia,Cam")+OR(
AND(ROW(K67)&gt;=9,ROW(K67)&lt;=68),
AND(ROW(K67)&gt;=99,ROW(K67)&lt;=158),
AND(ROW(K67)&gt;=189,ROW(K67)&lt;=218)),
N("2 Pas de système scanopy and range opy")+AND(ROW(K67)&gt;=219,ROW(K67)&lt;=248,SCANOPY_N_System&lt;2),
N("3 Avec LC")&amp;IF(ISERROR(LEFT(J66,SEARCH("00",J66)-3)),"",LEFT(J66,SEARCH("00",J66)-3))="LC"),"","☐ ")
&amp;
IF(N("If it's OPY, put OMount Manual instead")+
AND(ROW(J67)&gt;=219,ROW(J67)&lt;=248),
IF(SCANOPY_N_System&gt;1,"OMount Man",""),
IF(N("If it is Dendro+CELL, Tron+Folia or Cam, Do not Show Scanner related items+No Video if LC")+OR(
AND(ROW(K67)&gt;=9,ROW(K67)&lt;=68),
AND(ROW(K67)&gt;=99,ROW(K67)&lt;=158),
AND(ROW(K67)&gt;=189,ROW(K67)&lt;=218),
IF(ISERROR(LEFT(J66,SEARCH("00",J66)-3)),"",LEFT(J66,SEARCH("00",J66)-3))="LC"),
    "", "Video " &amp; IF(1=N("Si système a un scanner différent du Scanner populaire alors différent, sinon Scanner populaire")+AND(NOT(ISERROR(SEARCH("System",J66))),LEFT(J66,2)&lt;&gt;LEFT(PROD_MostPopularScanner,2)),
LEFT(J66,SEARCH("00",J66)-3),
PROD_MostPopularScanner) &amp; " Install"))</f>
        <v/>
      </c>
      <c r="M67" s="507" t="str">
        <f>IF(N("If it is Dendro or Tron, Do not Show Color Analysis Video")+
OR(AND(ROW(L67)&gt;=9,ROW(L67)&lt;=38),
AND(ROW(L67)&gt;=99,ROW(L67)&lt;=128)), "","☐ Video ClrAna")</f>
        <v>☐ Video ClrAna</v>
      </c>
      <c r="N67" s="508" t="str">
        <f>IF(OR(INT((ROW(D67)-10)/30)+1=2,INT((ROW(D67)-10)/30)+1=4),"","☐ ")&amp;
IF(INT((ROW(D67)-10)/30)+1=1,"Scanner.cal","")&amp;
IF(INT((ROW(D67)-10)/30)+1=2,"","")&amp;
IF(INT((ROW(D67)-10)/30)+1=3,"Scanner.cal","")&amp;
IF(INT((ROW(D67)-10)/30)+1=4,"","")&amp;
IF(INT((ROW(D67)-10)/30)+1=5,"Scanner.cal","")&amp;
IF(INT((ROW(D67)-10)/30)+1=6,"Scanner.cal","")&amp;
IF(INT((ROW(D67)-10)/30)+1=7,"Scanner.cal","")&amp;
IF(INT((ROW(D67)-10)/30)+1=8,IF(SCANOPY_Camera, "Indiv", "Gen")&amp; " Lens.cal","")</f>
        <v/>
      </c>
      <c r="O67" s="395" t="str">
        <f>IF(AND(ROW(L67)&gt;=9,ROW(L67)&lt;=38),"☐ RegentTarget.blu","")</f>
        <v/>
      </c>
      <c r="P67" s="302"/>
      <c r="Q67" s="302"/>
    </row>
    <row r="68" spans="1:17" ht="24" customHeight="1" x14ac:dyDescent="0.2">
      <c r="A68" s="561" t="s">
        <v>269</v>
      </c>
      <c r="B68" s="311" t="s">
        <v>269</v>
      </c>
      <c r="C68" s="395" t="s">
        <v>159</v>
      </c>
      <c r="D68" s="395" t="str">
        <f xml:space="preserve"> IF(N("If it is Cam, Do not Show XL")+AND(ROW(D68)&gt;=189,ROW(D68)&lt;=218),"","☐ XL Man")</f>
        <v>☐ XL Man</v>
      </c>
      <c r="E68" s="570" t="str">
        <f>IF(N("Si OR dessous = vrai, pas de box")+OR(
N("1 OR Tron ou CELL")+OR(AND(ROW(K67)&gt;=39,ROW(K67)&lt;=68),AND(ROW(K67)&gt;=99,ROW(K67)&lt;=128)),
N("2 Pas de système scanopy and range opy")+AND(ROW(K67)&gt;=219,ROW(K67)&lt;=248,SCANOPY_N_System&lt;2),
N("3 Avec LC")&amp;IF(ISERROR(LEFT(J66,SEARCH("00",J66)-3)),"",LEFT(J66,SEARCH("00",J66)-3))="LC"),"","☐ ")
&amp;
IF(N("If it's OPY, put OMount Manual instead")+
AND(ROW(J67)&gt;=219,ROW(J67)&lt;=248),
IF(SCANOPY_N_System&gt;1,"OMount Man",""),
IF(N("If it is Cell or Tron, Do not Show Scanner related items")+OR(
AND(ROW(K67)&gt;=39,ROW(K67)&lt;=68),
AND(ROW(K67)&gt;=99,ROW(K67)&lt;=128)),
    "", IF(1=N("Si système a un scanner différent du Scanner populaire alors différent, sinon Scanner populaire")+AND(NOT(ISERROR(SEARCH("System",J66))),LEFT(J66,2)&lt;&gt;LEFT(PROD_MostPopularScanner,2)),
LEFT(J66,SEARCH("00",J66)-3),
PROD_MostPopularScanner) &amp; " Install Man"))</f>
        <v/>
      </c>
      <c r="F68" s="509" t="s">
        <v>285</v>
      </c>
      <c r="G68" s="395" t="s">
        <v>284</v>
      </c>
      <c r="H68" s="572" t="s">
        <v>260</v>
      </c>
      <c r="I68" s="510"/>
      <c r="J68" s="395" t="s">
        <v>160</v>
      </c>
      <c r="K68" s="353"/>
      <c r="L68" s="572" t="s">
        <v>734</v>
      </c>
      <c r="M68" s="395"/>
      <c r="N68" s="509"/>
      <c r="O68" s="395"/>
      <c r="P68" s="302"/>
      <c r="Q68" s="302"/>
    </row>
    <row r="69" spans="1:17" ht="16.25" customHeight="1" x14ac:dyDescent="0.2">
      <c r="A69" s="550"/>
      <c r="B69" s="380"/>
      <c r="C69" s="828" t="str">
        <f>IF((RHIZO_N_UpgradeUpdate + RHIZO_N_Software ) = 2,"",LEFT(INDEX(RHIZO_SoftwareFullNames,RHIZO_IndexSoftware),FIND(" ",INDEX(RHIZO_SoftwareFullNames,RHIZO_IndexSoftware),FIND(" ",INDEX(RHIZO_SoftwareFullNames,RHIZO_IndexSoftware))+1)) &amp;
RHIZO_YearMostRecent )</f>
        <v/>
      </c>
      <c r="D69" s="828"/>
      <c r="E69" s="388"/>
      <c r="F69" s="388"/>
      <c r="G69" s="359" t="str">
        <f>IF(RHIZO_OptionXL*(RHIZO_N_Software+RHIZO_N_UpgradeUpdate-2)&gt;=((ROW(G69)-ROW($G$69))/4+1),"XLRHIZO "&amp; RHIZO_YearMostRecent,"")</f>
        <v/>
      </c>
      <c r="H69" s="335"/>
      <c r="I69" s="335"/>
      <c r="J69" s="359" t="str">
        <f>IF(RHIZO_N_System-1&gt;=((ROW(G69)-ROW($G$69))/4+1),IF(RHIZO_IndexScanner=1,"STD4800","LA2400") &amp; " System"&amp; IF(AND(RHIZO_ClientWithOrWithoutScanner=2,RHIZO_N_System&gt;1)," Sans Scanner"," Avec Scanner"),
IF(AND(RHIZO_N_Software&gt;RHIZO_N_System,RHIZO_N_Software-1&gt;((ROW(G69)-ROW($G$69))/4+1)),IF(N_SystemTotal=0,"Software Only",IF(N_STDScanners+N_LAScanners+N_LCScanners=0,"Software Sans Scanner","Software Avec Scanner")),
IF(RHIZO_N_UpgradeUpdate-1&gt;=((ROW(G69)-ROW($G$69))/4+1)-(MAX(RHIZO_N_System,RHIZO_N_Software)-1),"Update","")))</f>
        <v/>
      </c>
      <c r="K69" s="335"/>
      <c r="L69" s="334"/>
      <c r="M69" s="334"/>
      <c r="N69" s="334"/>
      <c r="O69" s="302"/>
      <c r="P69" s="302"/>
      <c r="Q69" s="302"/>
    </row>
    <row r="70" spans="1:17" ht="24" customHeight="1" x14ac:dyDescent="0.2">
      <c r="A70" s="562" t="s">
        <v>268</v>
      </c>
      <c r="B70" s="375" t="s">
        <v>268</v>
      </c>
      <c r="C70" s="507" t="str">
        <f>"☐☐ Win" &amp;
IF(INT((ROW(D70)-10)/30)+1=1,"DEN","")&amp;
IF(INT((ROW(D70)-10)/30)+1=2,"CEL","")&amp;
IF(INT((ROW(D70)-10)/30)+1=3,"RHI","")&amp;
IF(INT((ROW(D70)-10)/30)+1=4,"RT","")&amp;
IF(INT((ROW(D70)-10)/30)+1=5,"FOL","")&amp;
IF(INT((ROW(D70)-10)/30)+1=6,"SEE","")&amp;
IF(INT((ROW(D70)-10)/30)+1=7,"CAM","")&amp;
IF(INT((ROW(D70)-10)/30)+1=8,"SCA","") &amp; ".exe"</f>
        <v>☐☐ WinRHI.exe</v>
      </c>
      <c r="D70" s="507" t="str">
        <f xml:space="preserve"> IF(N("If it is Cam, Do not Show XL")+AND(ROW(D70)&gt;=189,ROW(D70)&lt;=218),"","☐ XL" &amp;
IF(INT((ROW(D70)-10)/30)+1=1,"STEM","")&amp;
IF(INT((ROW(D70)-10)/30)+1=2,"Cell","")&amp;
IF(INT((ROW(D70)-10)/30)+1=3,"Rhizo","")&amp;
IF(INT((ROW(D70)-10)/30)+1=4,"RhizoT","")&amp;
IF(INT((ROW(D70)-10)/30)+1=5,"Folia","")&amp;
IF(INT((ROW(D70)-10)/30)+1=6,"Seedle","")&amp;
IF(INT((ROW(D70)-10)/30)+1=7,"Cam","")&amp;
IF(INT((ROW(D70)-10)/30)+1=8,"Scanopy","") &amp; ".xls")</f>
        <v>☐ XLRhizo.xls</v>
      </c>
      <c r="E70" s="507" t="s">
        <v>309</v>
      </c>
      <c r="F70" s="508" t="s">
        <v>159</v>
      </c>
      <c r="G70" s="507" t="str">
        <f xml:space="preserve"> IF(N("If it is Cam, Do not Show XL")+AND(ROW(G70)&gt;=189,ROW(G70)&lt;=218),"","☐ XL Man")</f>
        <v>☐ XL Man</v>
      </c>
      <c r="H70" s="508" t="s">
        <v>290</v>
      </c>
      <c r="I70" s="395" t="s">
        <v>284</v>
      </c>
      <c r="J70" s="508" t="str">
        <f>IF(N("Si OR dessous = vrai, pas de box")+OR(
N("1 OR Tron ou CELL")+OR(AND(ROW(E70)&gt;=39,ROW(E70)&lt;=68),AND(ROW(E70)&gt;=99,ROW(E70)&lt;=128)),
N("2 Pas de système scanopy and range opy")+AND(ROW(E70)&gt;=219,ROW(E70)&lt;=248,SCANOPY_N_System&lt;2),
N("3 Avec LC")&amp;IF(ISERROR(LEFT(D69,SEARCH("00",D69)-3)),"",LEFT(D69,SEARCH("00",D69)-3))="LC"),"","☐ ")
&amp;
IF(N("If it's OPY, put OMount Manual instead")+
AND(ROW(D70)&gt;=219,ROW(D70)&lt;=248),
IF(SCANOPY_N_System&gt;1,
IF(SCANOPY_IndexScanner=1,"α" &amp; SCANOPY_CameraModel,SCANOPY_CameraModel_Mini) &amp; " Man",""),
IF(N("If it is Cell or Tron, Do not Show Scanner related items+No Video if LC")+OR(
AND(ROW(E70)&gt;=39,ROW(E70)&lt;=68),
AND(ROW(E70)&gt;=99,ROW(E70)&lt;=128)),
    "", IF(1=N("Si système a un scanner différent du Scanner populaire alors différent, sinon Scanner populaire")+AND(NOT(ISERROR(SEARCH("System",D69))),LEFT(D69,2)&lt;&gt;LEFT(PROD_MostPopularScanner,2)),
LEFT(D69,SEARCH("00",D69)-3),
PROD_MostPopularScanner) &amp; " Install Man"))</f>
        <v>☐ Scan. Install Man</v>
      </c>
      <c r="K70" s="507" t="str">
        <f>IF(N("If it is Cell or Tron or OPY, Do not Show Twain")+OR(AND(ROW(K70)&gt;=39,ROW(K70)&lt;=68),AND(ROW(K70)&gt;=99,ROW(K70)&lt;=128),AND(ROW(J70)&gt;=219,ROW(J70)&lt;=248)),"","☐ TWAIN")</f>
        <v>☐ TWAIN</v>
      </c>
      <c r="L70" s="508" t="str">
        <f>IF(N("Si OR dessous = vrai, pas de box")+OR(
N("1 OR Dendro+CELL, Tron+Folia,Cam")+OR(
AND(ROW(K70)&gt;=9,ROW(K70)&lt;=68),
AND(ROW(K70)&gt;=99,ROW(K70)&lt;=158),
AND(ROW(K70)&gt;=189,ROW(K70)&lt;=218)),
N("2 Pas de système scanopy and range opy")+AND(ROW(K70)&gt;=219,ROW(K70)&lt;=248,SCANOPY_N_System&lt;2),
N("3 Avec LC")&amp;IF(ISERROR(LEFT(J69,SEARCH("00",J69)-3)),"",LEFT(J69,SEARCH("00",J69)-3))="LC"),"","☐ ")
&amp;
IF(N("If it's OPY, put OMount Manual instead")+
AND(ROW(J70)&gt;=219,ROW(J70)&lt;=248),
IF(SCANOPY_N_System&gt;1,"OMount Man",""),
IF(N("If it is Dendro+CELL, Tron+Folia or Cam, Do not Show Scanner related items+No Video if LC")+OR(
AND(ROW(K70)&gt;=9,ROW(K70)&lt;=68),
AND(ROW(K70)&gt;=99,ROW(K70)&lt;=158),
AND(ROW(K70)&gt;=189,ROW(K70)&lt;=218),
IF(ISERROR(LEFT(J69,SEARCH("00",J69)-3)),"",LEFT(J69,SEARCH("00",J69)-3))="LC"),
    "", "Video " &amp; IF(1=N("Si système a un scanner différent du Scanner populaire alors différent, sinon Scanner populaire")+AND(NOT(ISERROR(SEARCH("System",J69))),LEFT(J69,2)&lt;&gt;LEFT(PROD_MostPopularScanner,2)),
LEFT(J69,SEARCH("00",J69)-3),
PROD_MostPopularScanner) &amp; " Install"))</f>
        <v>☐ Video Scan. Install</v>
      </c>
      <c r="M70" s="507" t="str">
        <f>IF(N("If it is Dendro or Tron, Do not Show Color Analysis Video")+
OR(AND(ROW(L70)&gt;=9,ROW(L70)&lt;=38),
AND(ROW(L70)&gt;=99,ROW(L70)&lt;=128)), "","☐ Video ClrAna")</f>
        <v>☐ Video ClrAna</v>
      </c>
      <c r="N70" s="508" t="str">
        <f>IF(OR(INT((ROW(D70)-10)/30)+1=2,INT((ROW(D70)-10)/30)+1=4),"","☐ ")&amp;
IF(INT((ROW(D70)-10)/30)+1=1,"Scanner.cal","")&amp;
IF(INT((ROW(D70)-10)/30)+1=2,"","")&amp;
IF(INT((ROW(D70)-10)/30)+1=3,"Scanner.cal","")&amp;
IF(INT((ROW(D70)-10)/30)+1=4,"","")&amp;
IF(INT((ROW(D70)-10)/30)+1=5,"Scanner.cal","")&amp;
IF(INT((ROW(D70)-10)/30)+1=6,"Scanner.cal","")&amp;
IF(INT((ROW(D70)-10)/30)+1=7,"Scanner.cal","")&amp;
IF(INT((ROW(D70)-10)/30)+1=8,IF(SCANOPY_Camera, "Indiv", "Gen")&amp; " Lens.cal","")</f>
        <v>☐ Scanner.cal</v>
      </c>
      <c r="O70" s="395" t="str">
        <f>IF(AND(ROW(L70)&gt;=9,ROW(L70)&lt;=38),"☐ RegentTarget.blu","")</f>
        <v/>
      </c>
      <c r="P70" s="302"/>
      <c r="Q70" s="302"/>
    </row>
    <row r="71" spans="1:17" ht="24" customHeight="1" x14ac:dyDescent="0.2">
      <c r="A71" s="562" t="s">
        <v>269</v>
      </c>
      <c r="B71" s="311" t="s">
        <v>269</v>
      </c>
      <c r="C71" s="395" t="s">
        <v>159</v>
      </c>
      <c r="D71" s="395" t="str">
        <f xml:space="preserve"> IF(N("If it is Cam, Do not Show XL")+AND(ROW(D71)&gt;=189,ROW(D71)&lt;=218),"","☐ XL Man")</f>
        <v>☐ XL Man</v>
      </c>
      <c r="E71" s="570" t="str">
        <f>IF(N("Si OR dessous = vrai, pas de box")+OR(
N("1 OR Tron ou CELL")+OR(AND(ROW(K70)&gt;=39,ROW(K70)&lt;=68),AND(ROW(K70)&gt;=99,ROW(K70)&lt;=128)),
N("2 Pas de système scanopy and range opy")+AND(ROW(K70)&gt;=219,ROW(K70)&lt;=248,SCANOPY_N_System&lt;2),
N("3 Avec LC")&amp;IF(ISERROR(LEFT(J69,SEARCH("00",J69)-3)),"",LEFT(J69,SEARCH("00",J69)-3))="LC"),"","☐ ")
&amp;
IF(N("If it's OPY, put OMount Manual instead")+
AND(ROW(J70)&gt;=219,ROW(J70)&lt;=248),
IF(SCANOPY_N_System&gt;1,"OMount Man",""),
IF(N("If it is Cell or Tron, Do not Show Scanner related items")+OR(
AND(ROW(K70)&gt;=39,ROW(K70)&lt;=68),
AND(ROW(K70)&gt;=99,ROW(K70)&lt;=128)),
    "", IF(1=N("Si système a un scanner différent du Scanner populaire alors différent, sinon Scanner populaire")+AND(NOT(ISERROR(SEARCH("System",J69))),LEFT(J69,2)&lt;&gt;LEFT(PROD_MostPopularScanner,2)),
LEFT(J69,SEARCH("00",J69)-3),
PROD_MostPopularScanner) &amp; " Install Man"))</f>
        <v>☐ Scan. Install Man</v>
      </c>
      <c r="F71" s="509" t="s">
        <v>285</v>
      </c>
      <c r="G71" s="395" t="s">
        <v>284</v>
      </c>
      <c r="H71" s="572" t="s">
        <v>260</v>
      </c>
      <c r="I71" s="510"/>
      <c r="J71" s="395" t="s">
        <v>160</v>
      </c>
      <c r="K71" s="353"/>
      <c r="L71" s="572" t="s">
        <v>734</v>
      </c>
      <c r="M71" s="395"/>
      <c r="N71" s="509"/>
      <c r="O71" s="395"/>
      <c r="P71" s="302"/>
      <c r="Q71" s="302"/>
    </row>
    <row r="72" spans="1:17" ht="16.25" customHeight="1" x14ac:dyDescent="0.2">
      <c r="A72" s="550"/>
      <c r="B72" s="380"/>
      <c r="C72" s="828" t="str">
        <f>IF((RHIZO_N_UpgradeUpdate + RHIZO_N_Software ) = 2,"",LEFT(INDEX(RHIZO_SoftwareFullNames,RHIZO_IndexSoftware),FIND(" ",INDEX(RHIZO_SoftwareFullNames,RHIZO_IndexSoftware),FIND(" ",INDEX(RHIZO_SoftwareFullNames,RHIZO_IndexSoftware))+1)) &amp;
RHIZO_YearMostRecent )</f>
        <v/>
      </c>
      <c r="D72" s="828"/>
      <c r="E72" s="388"/>
      <c r="F72" s="388"/>
      <c r="G72" s="359" t="str">
        <f>IF(RHIZO_OptionXL*(RHIZO_N_Software+RHIZO_N_UpgradeUpdate-2)&gt;=((ROW(G72)-ROW($G$69))/4+1),"XLRHIZO "&amp; RHIZO_YearMostRecent,"")</f>
        <v/>
      </c>
      <c r="H72" s="335"/>
      <c r="I72" s="335"/>
      <c r="J72" s="359" t="str">
        <f>IF(RHIZO_N_System-1&gt;=((ROW(G72)-ROW($G$69))/4+1),IF(RHIZO_IndexScanner=1,"STD4800","LA2400") &amp; " System"&amp; IF(AND(RHIZO_ClientWithOrWithoutScanner=2,RHIZO_N_System&gt;1)," Sans Scanner"," Avec Scanner"),
IF(AND(RHIZO_N_Software&gt;RHIZO_N_System,RHIZO_N_Software-1&gt;((ROW(G72)-ROW($G$69))/4+1)),IF(N_SystemTotal=0,"Software Only",IF(N_STDScanners+N_LAScanners+N_LCScanners=0,"Software Sans Scanner","Software Avec Scanner")),
IF(RHIZO_N_UpgradeUpdate-1&gt;=((ROW(G72)-ROW($G$69))/4+1)-(MAX(RHIZO_N_System,RHIZO_N_Software)-1),"Update","")))</f>
        <v/>
      </c>
      <c r="K72" s="335"/>
      <c r="L72" s="334"/>
      <c r="M72" s="334"/>
      <c r="N72" s="334"/>
      <c r="O72" s="302"/>
      <c r="P72" s="302"/>
      <c r="Q72" s="302"/>
    </row>
    <row r="73" spans="1:17" ht="24" customHeight="1" x14ac:dyDescent="0.2">
      <c r="A73" s="562" t="s">
        <v>268</v>
      </c>
      <c r="B73" s="375" t="s">
        <v>268</v>
      </c>
      <c r="C73" s="507" t="str">
        <f>"☐☐ Win" &amp;
IF(INT((ROW(D73)-10)/30)+1=1,"DEN","")&amp;
IF(INT((ROW(D73)-10)/30)+1=2,"CEL","")&amp;
IF(INT((ROW(D73)-10)/30)+1=3,"RHI","")&amp;
IF(INT((ROW(D73)-10)/30)+1=4,"RT","")&amp;
IF(INT((ROW(D73)-10)/30)+1=5,"FOL","")&amp;
IF(INT((ROW(D73)-10)/30)+1=6,"SEE","")&amp;
IF(INT((ROW(D73)-10)/30)+1=7,"CAM","")&amp;
IF(INT((ROW(D73)-10)/30)+1=8,"SCA","") &amp; ".exe"</f>
        <v>☐☐ WinRHI.exe</v>
      </c>
      <c r="D73" s="507" t="str">
        <f xml:space="preserve"> IF(N("If it is Cam, Do not Show XL")+AND(ROW(D73)&gt;=189,ROW(D73)&lt;=218),"","☐ XL" &amp;
IF(INT((ROW(D73)-10)/30)+1=1,"STEM","")&amp;
IF(INT((ROW(D73)-10)/30)+1=2,"Cell","")&amp;
IF(INT((ROW(D73)-10)/30)+1=3,"Rhizo","")&amp;
IF(INT((ROW(D73)-10)/30)+1=4,"RhizoT","")&amp;
IF(INT((ROW(D73)-10)/30)+1=5,"Folia","")&amp;
IF(INT((ROW(D73)-10)/30)+1=6,"Seedle","")&amp;
IF(INT((ROW(D73)-10)/30)+1=7,"Cam","")&amp;
IF(INT((ROW(D73)-10)/30)+1=8,"Scanopy","") &amp; ".xls")</f>
        <v>☐ XLRhizo.xls</v>
      </c>
      <c r="E73" s="507" t="s">
        <v>309</v>
      </c>
      <c r="F73" s="508" t="s">
        <v>159</v>
      </c>
      <c r="G73" s="507" t="str">
        <f xml:space="preserve"> IF(N("If it is Cam, Do not Show XL")+AND(ROW(G73)&gt;=189,ROW(G73)&lt;=218),"","☐ XL Man")</f>
        <v>☐ XL Man</v>
      </c>
      <c r="H73" s="508" t="s">
        <v>290</v>
      </c>
      <c r="I73" s="395" t="s">
        <v>284</v>
      </c>
      <c r="J73" s="508" t="str">
        <f>IF(N("Si OR dessous = vrai, pas de box")+OR(
N("1 OR Tron ou CELL")+OR(AND(ROW(E73)&gt;=39,ROW(E73)&lt;=68),AND(ROW(E73)&gt;=99,ROW(E73)&lt;=128)),
N("2 Pas de système scanopy and range opy")+AND(ROW(E73)&gt;=219,ROW(E73)&lt;=248,SCANOPY_N_System&lt;2),
N("3 Avec LC")&amp;IF(ISERROR(LEFT(D72,SEARCH("00",D72)-3)),"",LEFT(D72,SEARCH("00",D72)-3))="LC"),"","☐ ")
&amp;
IF(N("If it's OPY, put OMount Manual instead")+
AND(ROW(D73)&gt;=219,ROW(D73)&lt;=248),
IF(SCANOPY_N_System&gt;1,
IF(SCANOPY_IndexScanner=1,"α" &amp; SCANOPY_CameraModel,SCANOPY_CameraModel_Mini) &amp; " Man",""),
IF(N("If it is Cell or Tron, Do not Show Scanner related items+No Video if LC")+OR(
AND(ROW(E73)&gt;=39,ROW(E73)&lt;=68),
AND(ROW(E73)&gt;=99,ROW(E73)&lt;=128)),
    "", IF(1=N("Si système a un scanner différent du Scanner populaire alors différent, sinon Scanner populaire")+AND(NOT(ISERROR(SEARCH("System",D72))),LEFT(D72,2)&lt;&gt;LEFT(PROD_MostPopularScanner,2)),
LEFT(D72,SEARCH("00",D72)-3),
PROD_MostPopularScanner) &amp; " Install Man"))</f>
        <v>☐ Scan. Install Man</v>
      </c>
      <c r="K73" s="507" t="str">
        <f>IF(N("If it is Cell or Tron or OPY, Do not Show Twain")+OR(AND(ROW(K73)&gt;=39,ROW(K73)&lt;=68),AND(ROW(K73)&gt;=99,ROW(K73)&lt;=128),AND(ROW(J73)&gt;=219,ROW(J73)&lt;=248)),"","☐ TWAIN")</f>
        <v>☐ TWAIN</v>
      </c>
      <c r="L73" s="508" t="str">
        <f>IF(N("Si OR dessous = vrai, pas de box")+OR(
N("1 OR Dendro+CELL, Tron+Folia,Cam")+OR(
AND(ROW(K73)&gt;=9,ROW(K73)&lt;=68),
AND(ROW(K73)&gt;=99,ROW(K73)&lt;=158),
AND(ROW(K73)&gt;=189,ROW(K73)&lt;=218)),
N("2 Pas de système scanopy and range opy")+AND(ROW(K73)&gt;=219,ROW(K73)&lt;=248,SCANOPY_N_System&lt;2),
N("3 Avec LC")&amp;IF(ISERROR(LEFT(J72,SEARCH("00",J72)-3)),"",LEFT(J72,SEARCH("00",J72)-3))="LC"),"","☐ ")
&amp;
IF(N("If it's OPY, put OMount Manual instead")+
AND(ROW(J73)&gt;=219,ROW(J73)&lt;=248),
IF(SCANOPY_N_System&gt;1,"OMount Man",""),
IF(N("If it is Dendro+CELL, Tron+Folia or Cam, Do not Show Scanner related items+No Video if LC")+OR(
AND(ROW(K73)&gt;=9,ROW(K73)&lt;=68),
AND(ROW(K73)&gt;=99,ROW(K73)&lt;=158),
AND(ROW(K73)&gt;=189,ROW(K73)&lt;=218),
IF(ISERROR(LEFT(J72,SEARCH("00",J72)-3)),"",LEFT(J72,SEARCH("00",J72)-3))="LC"),
    "", "Video " &amp; IF(1=N("Si système a un scanner différent du Scanner populaire alors différent, sinon Scanner populaire")+AND(NOT(ISERROR(SEARCH("System",J72))),LEFT(J72,2)&lt;&gt;LEFT(PROD_MostPopularScanner,2)),
LEFT(J72,SEARCH("00",J72)-3),
PROD_MostPopularScanner) &amp; " Install"))</f>
        <v>☐ Video Scan. Install</v>
      </c>
      <c r="M73" s="507" t="str">
        <f>IF(N("If it is Dendro or Tron, Do not Show Color Analysis Video")+
OR(AND(ROW(L73)&gt;=9,ROW(L73)&lt;=38),
AND(ROW(L73)&gt;=99,ROW(L73)&lt;=128)), "","☐ Video ClrAna")</f>
        <v>☐ Video ClrAna</v>
      </c>
      <c r="N73" s="508" t="str">
        <f>IF(OR(INT((ROW(D73)-10)/30)+1=2,INT((ROW(D73)-10)/30)+1=4),"","☐ ")&amp;
IF(INT((ROW(D73)-10)/30)+1=1,"Scanner.cal","")&amp;
IF(INT((ROW(D73)-10)/30)+1=2,"","")&amp;
IF(INT((ROW(D73)-10)/30)+1=3,"Scanner.cal","")&amp;
IF(INT((ROW(D73)-10)/30)+1=4,"","")&amp;
IF(INT((ROW(D73)-10)/30)+1=5,"Scanner.cal","")&amp;
IF(INT((ROW(D73)-10)/30)+1=6,"Scanner.cal","")&amp;
IF(INT((ROW(D73)-10)/30)+1=7,"Scanner.cal","")&amp;
IF(INT((ROW(D73)-10)/30)+1=8,IF(SCANOPY_Camera, "Indiv", "Gen")&amp; " Lens.cal","")</f>
        <v>☐ Scanner.cal</v>
      </c>
      <c r="O73" s="395" t="str">
        <f>IF(AND(ROW(L73)&gt;=9,ROW(L73)&lt;=38),"☐ RegentTarget.blu","")</f>
        <v/>
      </c>
      <c r="P73" s="302"/>
      <c r="Q73" s="302"/>
    </row>
    <row r="74" spans="1:17" ht="24" customHeight="1" x14ac:dyDescent="0.2">
      <c r="A74" s="562" t="s">
        <v>269</v>
      </c>
      <c r="B74" s="311" t="s">
        <v>269</v>
      </c>
      <c r="C74" s="395" t="s">
        <v>159</v>
      </c>
      <c r="D74" s="395" t="str">
        <f xml:space="preserve"> IF(N("If it is Cam, Do not Show XL")+AND(ROW(D74)&gt;=189,ROW(D74)&lt;=218),"","☐ XL Man")</f>
        <v>☐ XL Man</v>
      </c>
      <c r="E74" s="570" t="str">
        <f>IF(N("Si OR dessous = vrai, pas de box")+OR(
N("1 OR Tron ou CELL")+OR(AND(ROW(K73)&gt;=39,ROW(K73)&lt;=68),AND(ROW(K73)&gt;=99,ROW(K73)&lt;=128)),
N("2 Pas de système scanopy and range opy")+AND(ROW(K73)&gt;=219,ROW(K73)&lt;=248,SCANOPY_N_System&lt;2),
N("3 Avec LC")&amp;IF(ISERROR(LEFT(J72,SEARCH("00",J72)-3)),"",LEFT(J72,SEARCH("00",J72)-3))="LC"),"","☐ ")
&amp;
IF(N("If it's OPY, put OMount Manual instead")+
AND(ROW(J73)&gt;=219,ROW(J73)&lt;=248),
IF(SCANOPY_N_System&gt;1,"OMount Man",""),
IF(N("If it is Cell or Tron, Do not Show Scanner related items")+OR(
AND(ROW(K73)&gt;=39,ROW(K73)&lt;=68),
AND(ROW(K73)&gt;=99,ROW(K73)&lt;=128)),
    "", IF(1=N("Si système a un scanner différent du Scanner populaire alors différent, sinon Scanner populaire")+AND(NOT(ISERROR(SEARCH("System",J72))),LEFT(J72,2)&lt;&gt;LEFT(PROD_MostPopularScanner,2)),
LEFT(J72,SEARCH("00",J72)-3),
PROD_MostPopularScanner) &amp; " Install Man"))</f>
        <v>☐ Scan. Install Man</v>
      </c>
      <c r="F74" s="509" t="s">
        <v>285</v>
      </c>
      <c r="G74" s="395" t="s">
        <v>284</v>
      </c>
      <c r="H74" s="572" t="s">
        <v>260</v>
      </c>
      <c r="I74" s="510"/>
      <c r="J74" s="395" t="s">
        <v>160</v>
      </c>
      <c r="K74" s="353"/>
      <c r="L74" s="572" t="s">
        <v>734</v>
      </c>
      <c r="M74" s="395"/>
      <c r="N74" s="509"/>
      <c r="O74" s="395"/>
      <c r="P74" s="302"/>
      <c r="Q74" s="302"/>
    </row>
    <row r="75" spans="1:17" ht="16.25" customHeight="1" x14ac:dyDescent="0.2">
      <c r="A75" s="550"/>
      <c r="B75" s="380"/>
      <c r="C75" s="828" t="str">
        <f>IF((RHIZO_N_UpgradeUpdate + RHIZO_N_Software ) = 2,"",LEFT(INDEX(RHIZO_SoftwareFullNames,RHIZO_IndexSoftware),FIND(" ",INDEX(RHIZO_SoftwareFullNames,RHIZO_IndexSoftware),FIND(" ",INDEX(RHIZO_SoftwareFullNames,RHIZO_IndexSoftware))+1)) &amp;
RHIZO_YearMostRecent )</f>
        <v/>
      </c>
      <c r="D75" s="828"/>
      <c r="E75" s="388"/>
      <c r="F75" s="388"/>
      <c r="G75" s="359" t="str">
        <f>IF(RHIZO_OptionXL*(RHIZO_N_Software+RHIZO_N_UpgradeUpdate-2)&gt;=((ROW(G75)-ROW($G$69))/4+1),"XLRHIZO "&amp; RHIZO_YearMostRecent,"")</f>
        <v/>
      </c>
      <c r="H75" s="335"/>
      <c r="I75" s="335"/>
      <c r="J75" s="359" t="str">
        <f>IF(RHIZO_N_System-1&gt;=((ROW(G75)-ROW($G$69))/4+1),IF(RHIZO_IndexScanner=1,"STD4800","LA2400") &amp; " System"&amp; IF(AND(RHIZO_ClientWithOrWithoutScanner=2,RHIZO_N_System&gt;1)," Sans Scanner"," Avec Scanner"),
IF(AND(RHIZO_N_Software&gt;RHIZO_N_System,RHIZO_N_Software-1&gt;((ROW(G75)-ROW($G$69))/4+1)),IF(N_SystemTotal=0,"Software Only",IF(N_STDScanners+N_LAScanners+N_LCScanners=0,"Software Sans Scanner","Software Avec Scanner")),
IF(RHIZO_N_UpgradeUpdate-1&gt;=((ROW(G75)-ROW($G$69))/4+1)-(MAX(RHIZO_N_System,RHIZO_N_Software)-1),"Update","")))</f>
        <v/>
      </c>
      <c r="K75" s="335"/>
      <c r="L75" s="334"/>
      <c r="M75" s="334"/>
      <c r="N75" s="334"/>
      <c r="O75" s="302"/>
      <c r="P75" s="302"/>
      <c r="Q75" s="302"/>
    </row>
    <row r="76" spans="1:17" ht="24" customHeight="1" x14ac:dyDescent="0.2">
      <c r="A76" s="562" t="s">
        <v>268</v>
      </c>
      <c r="B76" s="375" t="s">
        <v>268</v>
      </c>
      <c r="C76" s="507" t="str">
        <f>"☐☐ Win" &amp;
IF(INT((ROW(D76)-10)/30)+1=1,"DEN","")&amp;
IF(INT((ROW(D76)-10)/30)+1=2,"CEL","")&amp;
IF(INT((ROW(D76)-10)/30)+1=3,"RHI","")&amp;
IF(INT((ROW(D76)-10)/30)+1=4,"RT","")&amp;
IF(INT((ROW(D76)-10)/30)+1=5,"FOL","")&amp;
IF(INT((ROW(D76)-10)/30)+1=6,"SEE","")&amp;
IF(INT((ROW(D76)-10)/30)+1=7,"CAM","")&amp;
IF(INT((ROW(D76)-10)/30)+1=8,"SCA","") &amp; ".exe"</f>
        <v>☐☐ WinRHI.exe</v>
      </c>
      <c r="D76" s="507" t="str">
        <f xml:space="preserve"> IF(N("If it is Cam, Do not Show XL")+AND(ROW(D76)&gt;=189,ROW(D76)&lt;=218),"","☐ XL" &amp;
IF(INT((ROW(D76)-10)/30)+1=1,"STEM","")&amp;
IF(INT((ROW(D76)-10)/30)+1=2,"Cell","")&amp;
IF(INT((ROW(D76)-10)/30)+1=3,"Rhizo","")&amp;
IF(INT((ROW(D76)-10)/30)+1=4,"RhizoT","")&amp;
IF(INT((ROW(D76)-10)/30)+1=5,"Folia","")&amp;
IF(INT((ROW(D76)-10)/30)+1=6,"Seedle","")&amp;
IF(INT((ROW(D76)-10)/30)+1=7,"Cam","")&amp;
IF(INT((ROW(D76)-10)/30)+1=8,"Scanopy","") &amp; ".xls")</f>
        <v>☐ XLRhizo.xls</v>
      </c>
      <c r="E76" s="507" t="s">
        <v>309</v>
      </c>
      <c r="F76" s="508" t="s">
        <v>159</v>
      </c>
      <c r="G76" s="507" t="str">
        <f xml:space="preserve"> IF(N("If it is Cam, Do not Show XL")+AND(ROW(G76)&gt;=189,ROW(G76)&lt;=218),"","☐ XL Man")</f>
        <v>☐ XL Man</v>
      </c>
      <c r="H76" s="508" t="s">
        <v>290</v>
      </c>
      <c r="I76" s="395" t="s">
        <v>284</v>
      </c>
      <c r="J76" s="508" t="str">
        <f>IF(N("Si OR dessous = vrai, pas de box")+OR(
N("1 OR Tron ou CELL")+OR(AND(ROW(E76)&gt;=39,ROW(E76)&lt;=68),AND(ROW(E76)&gt;=99,ROW(E76)&lt;=128)),
N("2 Pas de système scanopy and range opy")+AND(ROW(E76)&gt;=219,ROW(E76)&lt;=248,SCANOPY_N_System&lt;2),
N("3 Avec LC")&amp;IF(ISERROR(LEFT(D75,SEARCH("00",D75)-3)),"",LEFT(D75,SEARCH("00",D75)-3))="LC"),"","☐ ")
&amp;
IF(N("If it's OPY, put OMount Manual instead")+
AND(ROW(D76)&gt;=219,ROW(D76)&lt;=248),
IF(SCANOPY_N_System&gt;1,
IF(SCANOPY_IndexScanner=1,"α" &amp; SCANOPY_CameraModel,SCANOPY_CameraModel_Mini) &amp; " Man",""),
IF(N("If it is Cell or Tron, Do not Show Scanner related items+No Video if LC")+OR(
AND(ROW(E76)&gt;=39,ROW(E76)&lt;=68),
AND(ROW(E76)&gt;=99,ROW(E76)&lt;=128)),
    "", IF(1=N("Si système a un scanner différent du Scanner populaire alors différent, sinon Scanner populaire")+AND(NOT(ISERROR(SEARCH("System",D75))),LEFT(D75,2)&lt;&gt;LEFT(PROD_MostPopularScanner,2)),
LEFT(D75,SEARCH("00",D75)-3),
PROD_MostPopularScanner) &amp; " Install Man"))</f>
        <v>☐ Scan. Install Man</v>
      </c>
      <c r="K76" s="507" t="str">
        <f>IF(N("If it is Cell or Tron or OPY, Do not Show Twain")+OR(AND(ROW(K76)&gt;=39,ROW(K76)&lt;=68),AND(ROW(K76)&gt;=99,ROW(K76)&lt;=128),AND(ROW(J76)&gt;=219,ROW(J76)&lt;=248)),"","☐ TWAIN")</f>
        <v>☐ TWAIN</v>
      </c>
      <c r="L76" s="508" t="str">
        <f>IF(N("Si OR dessous = vrai, pas de box")+OR(
N("1 OR Dendro+CELL, Tron+Folia,Cam")+OR(
AND(ROW(K76)&gt;=9,ROW(K76)&lt;=68),
AND(ROW(K76)&gt;=99,ROW(K76)&lt;=158),
AND(ROW(K76)&gt;=189,ROW(K76)&lt;=218)),
N("2 Pas de système scanopy and range opy")+AND(ROW(K76)&gt;=219,ROW(K76)&lt;=248,SCANOPY_N_System&lt;2),
N("3 Avec LC")&amp;IF(ISERROR(LEFT(J75,SEARCH("00",J75)-3)),"",LEFT(J75,SEARCH("00",J75)-3))="LC"),"","☐ ")
&amp;
IF(N("If it's OPY, put OMount Manual instead")+
AND(ROW(J76)&gt;=219,ROW(J76)&lt;=248),
IF(SCANOPY_N_System&gt;1,"OMount Man",""),
IF(N("If it is Dendro+CELL, Tron+Folia or Cam, Do not Show Scanner related items+No Video if LC")+OR(
AND(ROW(K76)&gt;=9,ROW(K76)&lt;=68),
AND(ROW(K76)&gt;=99,ROW(K76)&lt;=158),
AND(ROW(K76)&gt;=189,ROW(K76)&lt;=218),
IF(ISERROR(LEFT(J75,SEARCH("00",J75)-3)),"",LEFT(J75,SEARCH("00",J75)-3))="LC"),
    "", "Video " &amp; IF(1=N("Si système a un scanner différent du Scanner populaire alors différent, sinon Scanner populaire")+AND(NOT(ISERROR(SEARCH("System",J75))),LEFT(J75,2)&lt;&gt;LEFT(PROD_MostPopularScanner,2)),
LEFT(J75,SEARCH("00",J75)-3),
PROD_MostPopularScanner) &amp; " Install"))</f>
        <v>☐ Video Scan. Install</v>
      </c>
      <c r="M76" s="507" t="str">
        <f>IF(N("If it is Dendro or Tron, Do not Show Color Analysis Video")+
OR(AND(ROW(L76)&gt;=9,ROW(L76)&lt;=38),
AND(ROW(L76)&gt;=99,ROW(L76)&lt;=128)), "","☐ Video ClrAna")</f>
        <v>☐ Video ClrAna</v>
      </c>
      <c r="N76" s="508" t="str">
        <f>IF(OR(INT((ROW(D76)-10)/30)+1=2,INT((ROW(D76)-10)/30)+1=4),"","☐ ")&amp;
IF(INT((ROW(D76)-10)/30)+1=1,"Scanner.cal","")&amp;
IF(INT((ROW(D76)-10)/30)+1=2,"","")&amp;
IF(INT((ROW(D76)-10)/30)+1=3,"Scanner.cal","")&amp;
IF(INT((ROW(D76)-10)/30)+1=4,"","")&amp;
IF(INT((ROW(D76)-10)/30)+1=5,"Scanner.cal","")&amp;
IF(INT((ROW(D76)-10)/30)+1=6,"Scanner.cal","")&amp;
IF(INT((ROW(D76)-10)/30)+1=7,"Scanner.cal","")&amp;
IF(INT((ROW(D76)-10)/30)+1=8,IF(SCANOPY_Camera, "Indiv", "Gen")&amp; " Lens.cal","")</f>
        <v>☐ Scanner.cal</v>
      </c>
      <c r="O76" s="395" t="str">
        <f>IF(AND(ROW(L76)&gt;=9,ROW(L76)&lt;=38),"☐ RegentTarget.blu","")</f>
        <v/>
      </c>
      <c r="P76" s="302"/>
      <c r="Q76" s="302"/>
    </row>
    <row r="77" spans="1:17" ht="24" customHeight="1" x14ac:dyDescent="0.2">
      <c r="A77" s="562" t="s">
        <v>269</v>
      </c>
      <c r="B77" s="311" t="s">
        <v>269</v>
      </c>
      <c r="C77" s="395" t="s">
        <v>159</v>
      </c>
      <c r="D77" s="395" t="str">
        <f xml:space="preserve"> IF(N("If it is Cam, Do not Show XL")+AND(ROW(D77)&gt;=189,ROW(D77)&lt;=218),"","☐ XL Man")</f>
        <v>☐ XL Man</v>
      </c>
      <c r="E77" s="570" t="str">
        <f>IF(N("Si OR dessous = vrai, pas de box")+OR(
N("1 OR Tron ou CELL")+OR(AND(ROW(K76)&gt;=39,ROW(K76)&lt;=68),AND(ROW(K76)&gt;=99,ROW(K76)&lt;=128)),
N("2 Pas de système scanopy and range opy")+AND(ROW(K76)&gt;=219,ROW(K76)&lt;=248,SCANOPY_N_System&lt;2),
N("3 Avec LC")&amp;IF(ISERROR(LEFT(J75,SEARCH("00",J75)-3)),"",LEFT(J75,SEARCH("00",J75)-3))="LC"),"","☐ ")
&amp;
IF(N("If it's OPY, put OMount Manual instead")+
AND(ROW(J76)&gt;=219,ROW(J76)&lt;=248),
IF(SCANOPY_N_System&gt;1,"OMount Man",""),
IF(N("If it is Cell or Tron, Do not Show Scanner related items")+OR(
AND(ROW(K76)&gt;=39,ROW(K76)&lt;=68),
AND(ROW(K76)&gt;=99,ROW(K76)&lt;=128)),
    "", IF(1=N("Si système a un scanner différent du Scanner populaire alors différent, sinon Scanner populaire")+AND(NOT(ISERROR(SEARCH("System",J75))),LEFT(J75,2)&lt;&gt;LEFT(PROD_MostPopularScanner,2)),
LEFT(J75,SEARCH("00",J75)-3),
PROD_MostPopularScanner) &amp; " Install Man"))</f>
        <v>☐ Scan. Install Man</v>
      </c>
      <c r="F77" s="509" t="s">
        <v>285</v>
      </c>
      <c r="G77" s="395" t="s">
        <v>284</v>
      </c>
      <c r="H77" s="572" t="s">
        <v>260</v>
      </c>
      <c r="I77" s="510"/>
      <c r="J77" s="395" t="s">
        <v>160</v>
      </c>
      <c r="K77" s="353"/>
      <c r="L77" s="572" t="s">
        <v>734</v>
      </c>
      <c r="M77" s="395"/>
      <c r="N77" s="509"/>
      <c r="O77" s="395"/>
      <c r="P77" s="302"/>
      <c r="Q77" s="302"/>
    </row>
    <row r="78" spans="1:17" ht="16.25" customHeight="1" x14ac:dyDescent="0.2">
      <c r="A78" s="550"/>
      <c r="B78" s="380"/>
      <c r="C78" s="828" t="str">
        <f>IF((RHIZO_N_UpgradeUpdate + RHIZO_N_Software ) = 2,"",LEFT(INDEX(RHIZO_SoftwareFullNames,RHIZO_IndexSoftware),FIND(" ",INDEX(RHIZO_SoftwareFullNames,RHIZO_IndexSoftware),FIND(" ",INDEX(RHIZO_SoftwareFullNames,RHIZO_IndexSoftware))+1)) &amp;
RHIZO_YearMostRecent )</f>
        <v/>
      </c>
      <c r="D78" s="828"/>
      <c r="E78" s="388"/>
      <c r="F78" s="388"/>
      <c r="G78" s="359" t="str">
        <f>IF(RHIZO_OptionXL*(RHIZO_N_Software+RHIZO_N_UpgradeUpdate-2)&gt;=((ROW(G78)-ROW($G$69))/4+1),"XLRHIZO "&amp; RHIZO_YearMostRecent,"")</f>
        <v/>
      </c>
      <c r="H78" s="335"/>
      <c r="I78" s="335"/>
      <c r="J78" s="359" t="str">
        <f>IF(RHIZO_N_System-1&gt;=((ROW(G78)-ROW($G$69))/4+1),IF(RHIZO_IndexScanner=1,"STD4800","LA2400") &amp; " System"&amp; IF(AND(RHIZO_ClientWithOrWithoutScanner=2,RHIZO_N_System&gt;1)," Sans Scanner"," Avec Scanner"),
IF(AND(RHIZO_N_Software&gt;RHIZO_N_System,RHIZO_N_Software-1&gt;((ROW(G78)-ROW($G$69))/4+1)),IF(N_SystemTotal=0,"Software Only",IF(N_STDScanners+N_LAScanners+N_LCScanners=0,"Software Sans Scanner","Software Avec Scanner")),
IF(RHIZO_N_UpgradeUpdate-1&gt;=((ROW(G78)-ROW($G$69))/4+1)-(MAX(RHIZO_N_System,RHIZO_N_Software)-1),"Update","")))</f>
        <v/>
      </c>
      <c r="K78" s="335"/>
      <c r="L78" s="334"/>
      <c r="M78" s="334"/>
      <c r="N78" s="334"/>
      <c r="O78" s="302"/>
      <c r="P78" s="302"/>
      <c r="Q78" s="302"/>
    </row>
    <row r="79" spans="1:17" ht="24" customHeight="1" x14ac:dyDescent="0.2">
      <c r="A79" s="562" t="s">
        <v>268</v>
      </c>
      <c r="B79" s="375" t="s">
        <v>268</v>
      </c>
      <c r="C79" s="507" t="str">
        <f>"☐☐ Win" &amp;
IF(INT((ROW(D79)-10)/30)+1=1,"DEN","")&amp;
IF(INT((ROW(D79)-10)/30)+1=2,"CEL","")&amp;
IF(INT((ROW(D79)-10)/30)+1=3,"RHI","")&amp;
IF(INT((ROW(D79)-10)/30)+1=4,"RT","")&amp;
IF(INT((ROW(D79)-10)/30)+1=5,"FOL","")&amp;
IF(INT((ROW(D79)-10)/30)+1=6,"SEE","")&amp;
IF(INT((ROW(D79)-10)/30)+1=7,"CAM","")&amp;
IF(INT((ROW(D79)-10)/30)+1=8,"SCA","") &amp; ".exe"</f>
        <v>☐☐ WinRHI.exe</v>
      </c>
      <c r="D79" s="507" t="str">
        <f xml:space="preserve"> IF(N("If it is Cam, Do not Show XL")+AND(ROW(D79)&gt;=189,ROW(D79)&lt;=218),"","☐ XL" &amp;
IF(INT((ROW(D79)-10)/30)+1=1,"STEM","")&amp;
IF(INT((ROW(D79)-10)/30)+1=2,"Cell","")&amp;
IF(INT((ROW(D79)-10)/30)+1=3,"Rhizo","")&amp;
IF(INT((ROW(D79)-10)/30)+1=4,"RhizoT","")&amp;
IF(INT((ROW(D79)-10)/30)+1=5,"Folia","")&amp;
IF(INT((ROW(D79)-10)/30)+1=6,"Seedle","")&amp;
IF(INT((ROW(D79)-10)/30)+1=7,"Cam","")&amp;
IF(INT((ROW(D79)-10)/30)+1=8,"Scanopy","") &amp; ".xls")</f>
        <v>☐ XLRhizo.xls</v>
      </c>
      <c r="E79" s="507" t="s">
        <v>309</v>
      </c>
      <c r="F79" s="508" t="s">
        <v>159</v>
      </c>
      <c r="G79" s="507" t="str">
        <f xml:space="preserve"> IF(N("If it is Cam, Do not Show XL")+AND(ROW(G79)&gt;=189,ROW(G79)&lt;=218),"","☐ XL Man")</f>
        <v>☐ XL Man</v>
      </c>
      <c r="H79" s="508" t="s">
        <v>290</v>
      </c>
      <c r="I79" s="395" t="s">
        <v>284</v>
      </c>
      <c r="J79" s="508" t="str">
        <f>IF(N("Si OR dessous = vrai, pas de box")+OR(
N("1 OR Tron ou CELL")+OR(AND(ROW(E79)&gt;=39,ROW(E79)&lt;=68),AND(ROW(E79)&gt;=99,ROW(E79)&lt;=128)),
N("2 Pas de système scanopy and range opy")+AND(ROW(E79)&gt;=219,ROW(E79)&lt;=248,SCANOPY_N_System&lt;2),
N("3 Avec LC")&amp;IF(ISERROR(LEFT(D78,SEARCH("00",D78)-3)),"",LEFT(D78,SEARCH("00",D78)-3))="LC"),"","☐ ")
&amp;
IF(N("If it's OPY, put OMount Manual instead")+
AND(ROW(D79)&gt;=219,ROW(D79)&lt;=248),
IF(SCANOPY_N_System&gt;1,
IF(SCANOPY_IndexScanner=1,"α" &amp; SCANOPY_CameraModel,SCANOPY_CameraModel_Mini) &amp; " Man",""),
IF(N("If it is Cell or Tron, Do not Show Scanner related items+No Video if LC")+OR(
AND(ROW(E79)&gt;=39,ROW(E79)&lt;=68),
AND(ROW(E79)&gt;=99,ROW(E79)&lt;=128)),
    "", IF(1=N("Si système a un scanner différent du Scanner populaire alors différent, sinon Scanner populaire")+AND(NOT(ISERROR(SEARCH("System",D78))),LEFT(D78,2)&lt;&gt;LEFT(PROD_MostPopularScanner,2)),
LEFT(D78,SEARCH("00",D78)-3),
PROD_MostPopularScanner) &amp; " Install Man"))</f>
        <v>☐ Scan. Install Man</v>
      </c>
      <c r="K79" s="507" t="str">
        <f>IF(N("If it is Cell or Tron or OPY, Do not Show Twain")+OR(AND(ROW(K79)&gt;=39,ROW(K79)&lt;=68),AND(ROW(K79)&gt;=99,ROW(K79)&lt;=128),AND(ROW(J79)&gt;=219,ROW(J79)&lt;=248)),"","☐ TWAIN")</f>
        <v>☐ TWAIN</v>
      </c>
      <c r="L79" s="508" t="str">
        <f>IF(N("Si OR dessous = vrai, pas de box")+OR(
N("1 OR Dendro+CELL, Tron+Folia,Cam")+OR(
AND(ROW(K79)&gt;=9,ROW(K79)&lt;=68),
AND(ROW(K79)&gt;=99,ROW(K79)&lt;=158),
AND(ROW(K79)&gt;=189,ROW(K79)&lt;=218)),
N("2 Pas de système scanopy and range opy")+AND(ROW(K79)&gt;=219,ROW(K79)&lt;=248,SCANOPY_N_System&lt;2),
N("3 Avec LC")&amp;IF(ISERROR(LEFT(J78,SEARCH("00",J78)-3)),"",LEFT(J78,SEARCH("00",J78)-3))="LC"),"","☐ ")
&amp;
IF(N("If it's OPY, put OMount Manual instead")+
AND(ROW(J79)&gt;=219,ROW(J79)&lt;=248),
IF(SCANOPY_N_System&gt;1,"OMount Man",""),
IF(N("If it is Dendro+CELL, Tron+Folia or Cam, Do not Show Scanner related items+No Video if LC")+OR(
AND(ROW(K79)&gt;=9,ROW(K79)&lt;=68),
AND(ROW(K79)&gt;=99,ROW(K79)&lt;=158),
AND(ROW(K79)&gt;=189,ROW(K79)&lt;=218),
IF(ISERROR(LEFT(J78,SEARCH("00",J78)-3)),"",LEFT(J78,SEARCH("00",J78)-3))="LC"),
    "", "Video " &amp; IF(1=N("Si système a un scanner différent du Scanner populaire alors différent, sinon Scanner populaire")+AND(NOT(ISERROR(SEARCH("System",J78))),LEFT(J78,2)&lt;&gt;LEFT(PROD_MostPopularScanner,2)),
LEFT(J78,SEARCH("00",J78)-3),
PROD_MostPopularScanner) &amp; " Install"))</f>
        <v>☐ Video Scan. Install</v>
      </c>
      <c r="M79" s="507" t="str">
        <f>IF(N("If it is Dendro or Tron, Do not Show Color Analysis Video")+
OR(AND(ROW(L79)&gt;=9,ROW(L79)&lt;=38),
AND(ROW(L79)&gt;=99,ROW(L79)&lt;=128)), "","☐ Video ClrAna")</f>
        <v>☐ Video ClrAna</v>
      </c>
      <c r="N79" s="508" t="str">
        <f>IF(OR(INT((ROW(D79)-10)/30)+1=2,INT((ROW(D79)-10)/30)+1=4),"","☐ ")&amp;
IF(INT((ROW(D79)-10)/30)+1=1,"Scanner.cal","")&amp;
IF(INT((ROW(D79)-10)/30)+1=2,"","")&amp;
IF(INT((ROW(D79)-10)/30)+1=3,"Scanner.cal","")&amp;
IF(INT((ROW(D79)-10)/30)+1=4,"","")&amp;
IF(INT((ROW(D79)-10)/30)+1=5,"Scanner.cal","")&amp;
IF(INT((ROW(D79)-10)/30)+1=6,"Scanner.cal","")&amp;
IF(INT((ROW(D79)-10)/30)+1=7,"Scanner.cal","")&amp;
IF(INT((ROW(D79)-10)/30)+1=8,IF(SCANOPY_Camera, "Indiv", "Gen")&amp; " Lens.cal","")</f>
        <v>☐ Scanner.cal</v>
      </c>
      <c r="O79" s="395" t="str">
        <f>IF(AND(ROW(L79)&gt;=9,ROW(L79)&lt;=38),"☐ RegentTarget.blu","")</f>
        <v/>
      </c>
      <c r="P79" s="302"/>
      <c r="Q79" s="302"/>
    </row>
    <row r="80" spans="1:17" ht="24" customHeight="1" x14ac:dyDescent="0.2">
      <c r="A80" s="562" t="s">
        <v>269</v>
      </c>
      <c r="B80" s="311" t="s">
        <v>269</v>
      </c>
      <c r="C80" s="395" t="s">
        <v>159</v>
      </c>
      <c r="D80" s="395" t="str">
        <f xml:space="preserve"> IF(N("If it is Cam, Do not Show XL")+AND(ROW(D80)&gt;=189,ROW(D80)&lt;=218),"","☐ XL Man")</f>
        <v>☐ XL Man</v>
      </c>
      <c r="E80" s="570" t="str">
        <f>IF(N("Si OR dessous = vrai, pas de box")+OR(
N("1 OR Tron ou CELL")+OR(AND(ROW(K79)&gt;=39,ROW(K79)&lt;=68),AND(ROW(K79)&gt;=99,ROW(K79)&lt;=128)),
N("2 Pas de système scanopy and range opy")+AND(ROW(K79)&gt;=219,ROW(K79)&lt;=248,SCANOPY_N_System&lt;2),
N("3 Avec LC")&amp;IF(ISERROR(LEFT(J78,SEARCH("00",J78)-3)),"",LEFT(J78,SEARCH("00",J78)-3))="LC"),"","☐ ")
&amp;
IF(N("If it's OPY, put OMount Manual instead")+
AND(ROW(J79)&gt;=219,ROW(J79)&lt;=248),
IF(SCANOPY_N_System&gt;1,"OMount Man",""),
IF(N("If it is Cell or Tron, Do not Show Scanner related items")+OR(
AND(ROW(K79)&gt;=39,ROW(K79)&lt;=68),
AND(ROW(K79)&gt;=99,ROW(K79)&lt;=128)),
    "", IF(1=N("Si système a un scanner différent du Scanner populaire alors différent, sinon Scanner populaire")+AND(NOT(ISERROR(SEARCH("System",J78))),LEFT(J78,2)&lt;&gt;LEFT(PROD_MostPopularScanner,2)),
LEFT(J78,SEARCH("00",J78)-3),
PROD_MostPopularScanner) &amp; " Install Man"))</f>
        <v>☐ Scan. Install Man</v>
      </c>
      <c r="F80" s="509" t="s">
        <v>285</v>
      </c>
      <c r="G80" s="395" t="s">
        <v>284</v>
      </c>
      <c r="H80" s="572" t="s">
        <v>260</v>
      </c>
      <c r="I80" s="510"/>
      <c r="J80" s="395" t="s">
        <v>160</v>
      </c>
      <c r="K80" s="353"/>
      <c r="L80" s="572" t="s">
        <v>734</v>
      </c>
      <c r="M80" s="395"/>
      <c r="N80" s="509"/>
      <c r="O80" s="395"/>
      <c r="P80" s="302"/>
      <c r="Q80" s="302"/>
    </row>
    <row r="81" spans="1:17" ht="16.25" customHeight="1" x14ac:dyDescent="0.2">
      <c r="A81" s="550"/>
      <c r="B81" s="380"/>
      <c r="C81" s="828" t="str">
        <f>IF((RHIZO_N_UpgradeUpdate + RHIZO_N_Software ) = 2,"",LEFT(INDEX(RHIZO_SoftwareFullNames,RHIZO_IndexSoftware),FIND(" ",INDEX(RHIZO_SoftwareFullNames,RHIZO_IndexSoftware),FIND(" ",INDEX(RHIZO_SoftwareFullNames,RHIZO_IndexSoftware))+1)) &amp;
RHIZO_YearMostRecent )</f>
        <v/>
      </c>
      <c r="D81" s="828"/>
      <c r="E81" s="388"/>
      <c r="F81" s="388"/>
      <c r="G81" s="359" t="str">
        <f>IF(RHIZO_OptionXL*(RHIZO_N_Software+RHIZO_N_UpgradeUpdate-2)&gt;=((ROW(G81)-ROW($G$69))/4+1),"XLRHIZO "&amp; RHIZO_YearMostRecent,"")</f>
        <v/>
      </c>
      <c r="H81" s="335"/>
      <c r="I81" s="335"/>
      <c r="J81" s="359" t="str">
        <f>IF(RHIZO_N_System-1&gt;=((ROW(G81)-ROW($G$69))/4+1),IF(RHIZO_IndexScanner=1,"STD4800","LA2400") &amp; " System"&amp; IF(AND(RHIZO_ClientWithOrWithoutScanner=2,RHIZO_N_System&gt;1)," Sans Scanner"," Avec Scanner"),
IF(AND(RHIZO_N_Software&gt;RHIZO_N_System,RHIZO_N_Software-1&gt;((ROW(G81)-ROW($G$69))/4+1)),IF(N_SystemTotal=0,"Software Only",IF(N_STDScanners+N_LAScanners+N_LCScanners=0,"Software Sans Scanner","Software Avec Scanner")),
IF(RHIZO_N_UpgradeUpdate-1&gt;=((ROW(G81)-ROW($G$69))/4+1)-(MAX(RHIZO_N_System,RHIZO_N_Software)-1),"Update","")))</f>
        <v/>
      </c>
      <c r="K81" s="335"/>
      <c r="L81" s="334"/>
      <c r="M81" s="334"/>
      <c r="N81" s="334"/>
      <c r="O81" s="302"/>
      <c r="P81" s="302"/>
      <c r="Q81" s="302"/>
    </row>
    <row r="82" spans="1:17" ht="24" customHeight="1" x14ac:dyDescent="0.2">
      <c r="A82" s="562" t="s">
        <v>268</v>
      </c>
      <c r="B82" s="375" t="s">
        <v>268</v>
      </c>
      <c r="C82" s="507" t="str">
        <f>"☐☐ Win" &amp;
IF(INT((ROW(D82)-10)/30)+1=1,"DEN","")&amp;
IF(INT((ROW(D82)-10)/30)+1=2,"CEL","")&amp;
IF(INT((ROW(D82)-10)/30)+1=3,"RHI","")&amp;
IF(INT((ROW(D82)-10)/30)+1=4,"RT","")&amp;
IF(INT((ROW(D82)-10)/30)+1=5,"FOL","")&amp;
IF(INT((ROW(D82)-10)/30)+1=6,"SEE","")&amp;
IF(INT((ROW(D82)-10)/30)+1=7,"CAM","")&amp;
IF(INT((ROW(D82)-10)/30)+1=8,"SCA","") &amp; ".exe"</f>
        <v>☐☐ WinRHI.exe</v>
      </c>
      <c r="D82" s="507" t="str">
        <f xml:space="preserve"> IF(N("If it is Cam, Do not Show XL")+AND(ROW(D82)&gt;=189,ROW(D82)&lt;=218),"","☐ XL" &amp;
IF(INT((ROW(D82)-10)/30)+1=1,"STEM","")&amp;
IF(INT((ROW(D82)-10)/30)+1=2,"Cell","")&amp;
IF(INT((ROW(D82)-10)/30)+1=3,"Rhizo","")&amp;
IF(INT((ROW(D82)-10)/30)+1=4,"RhizoT","")&amp;
IF(INT((ROW(D82)-10)/30)+1=5,"Folia","")&amp;
IF(INT((ROW(D82)-10)/30)+1=6,"Seedle","")&amp;
IF(INT((ROW(D82)-10)/30)+1=7,"Cam","")&amp;
IF(INT((ROW(D82)-10)/30)+1=8,"Scanopy","") &amp; ".xls")</f>
        <v>☐ XLRhizo.xls</v>
      </c>
      <c r="E82" s="507" t="s">
        <v>309</v>
      </c>
      <c r="F82" s="508" t="s">
        <v>159</v>
      </c>
      <c r="G82" s="507" t="str">
        <f xml:space="preserve"> IF(N("If it is Cam, Do not Show XL")+AND(ROW(G82)&gt;=189,ROW(G82)&lt;=218),"","☐ XL Man")</f>
        <v>☐ XL Man</v>
      </c>
      <c r="H82" s="508" t="s">
        <v>290</v>
      </c>
      <c r="I82" s="395" t="s">
        <v>284</v>
      </c>
      <c r="J82" s="508" t="str">
        <f>IF(N("Si OR dessous = vrai, pas de box")+OR(
N("1 OR Tron ou CELL")+OR(AND(ROW(E82)&gt;=39,ROW(E82)&lt;=68),AND(ROW(E82)&gt;=99,ROW(E82)&lt;=128)),
N("2 Pas de système scanopy and range opy")+AND(ROW(E82)&gt;=219,ROW(E82)&lt;=248,SCANOPY_N_System&lt;2),
N("3 Avec LC")&amp;IF(ISERROR(LEFT(D81,SEARCH("00",D81)-3)),"",LEFT(D81,SEARCH("00",D81)-3))="LC"),"","☐ ")
&amp;
IF(N("If it's OPY, put OMount Manual instead")+
AND(ROW(D82)&gt;=219,ROW(D82)&lt;=248),
IF(SCANOPY_N_System&gt;1,
IF(SCANOPY_IndexScanner=1,"α" &amp; SCANOPY_CameraModel,SCANOPY_CameraModel_Mini) &amp; " Man",""),
IF(N("If it is Cell or Tron, Do not Show Scanner related items+No Video if LC")+OR(
AND(ROW(E82)&gt;=39,ROW(E82)&lt;=68),
AND(ROW(E82)&gt;=99,ROW(E82)&lt;=128)),
    "", IF(1=N("Si système a un scanner différent du Scanner populaire alors différent, sinon Scanner populaire")+AND(NOT(ISERROR(SEARCH("System",D81))),LEFT(D81,2)&lt;&gt;LEFT(PROD_MostPopularScanner,2)),
LEFT(D81,SEARCH("00",D81)-3),
PROD_MostPopularScanner) &amp; " Install Man"))</f>
        <v>☐ Scan. Install Man</v>
      </c>
      <c r="K82" s="507" t="str">
        <f>IF(N("If it is Cell or Tron or OPY, Do not Show Twain")+OR(AND(ROW(K82)&gt;=39,ROW(K82)&lt;=68),AND(ROW(K82)&gt;=99,ROW(K82)&lt;=128),AND(ROW(J82)&gt;=219,ROW(J82)&lt;=248)),"","☐ TWAIN")</f>
        <v>☐ TWAIN</v>
      </c>
      <c r="L82" s="508" t="str">
        <f>IF(N("Si OR dessous = vrai, pas de box")+OR(
N("1 OR Dendro+CELL, Tron+Folia,Cam")+OR(
AND(ROW(K82)&gt;=9,ROW(K82)&lt;=68),
AND(ROW(K82)&gt;=99,ROW(K82)&lt;=158),
AND(ROW(K82)&gt;=189,ROW(K82)&lt;=218)),
N("2 Pas de système scanopy and range opy")+AND(ROW(K82)&gt;=219,ROW(K82)&lt;=248,SCANOPY_N_System&lt;2),
N("3 Avec LC")&amp;IF(ISERROR(LEFT(J81,SEARCH("00",J81)-3)),"",LEFT(J81,SEARCH("00",J81)-3))="LC"),"","☐ ")
&amp;
IF(N("If it's OPY, put OMount Manual instead")+
AND(ROW(J82)&gt;=219,ROW(J82)&lt;=248),
IF(SCANOPY_N_System&gt;1,"OMount Man",""),
IF(N("If it is Dendro+CELL, Tron+Folia or Cam, Do not Show Scanner related items+No Video if LC")+OR(
AND(ROW(K82)&gt;=9,ROW(K82)&lt;=68),
AND(ROW(K82)&gt;=99,ROW(K82)&lt;=158),
AND(ROW(K82)&gt;=189,ROW(K82)&lt;=218),
IF(ISERROR(LEFT(J81,SEARCH("00",J81)-3)),"",LEFT(J81,SEARCH("00",J81)-3))="LC"),
    "", "Video " &amp; IF(1=N("Si système a un scanner différent du Scanner populaire alors différent, sinon Scanner populaire")+AND(NOT(ISERROR(SEARCH("System",J81))),LEFT(J81,2)&lt;&gt;LEFT(PROD_MostPopularScanner,2)),
LEFT(J81,SEARCH("00",J81)-3),
PROD_MostPopularScanner) &amp; " Install"))</f>
        <v>☐ Video Scan. Install</v>
      </c>
      <c r="M82" s="507" t="str">
        <f>IF(N("If it is Dendro or Tron, Do not Show Color Analysis Video")+
OR(AND(ROW(L82)&gt;=9,ROW(L82)&lt;=38),
AND(ROW(L82)&gt;=99,ROW(L82)&lt;=128)), "","☐ Video ClrAna")</f>
        <v>☐ Video ClrAna</v>
      </c>
      <c r="N82" s="508" t="str">
        <f>IF(OR(INT((ROW(D82)-10)/30)+1=2,INT((ROW(D82)-10)/30)+1=4),"","☐ ")&amp;
IF(INT((ROW(D82)-10)/30)+1=1,"Scanner.cal","")&amp;
IF(INT((ROW(D82)-10)/30)+1=2,"","")&amp;
IF(INT((ROW(D82)-10)/30)+1=3,"Scanner.cal","")&amp;
IF(INT((ROW(D82)-10)/30)+1=4,"","")&amp;
IF(INT((ROW(D82)-10)/30)+1=5,"Scanner.cal","")&amp;
IF(INT((ROW(D82)-10)/30)+1=6,"Scanner.cal","")&amp;
IF(INT((ROW(D82)-10)/30)+1=7,"Scanner.cal","")&amp;
IF(INT((ROW(D82)-10)/30)+1=8,IF(SCANOPY_Camera, "Indiv", "Gen")&amp; " Lens.cal","")</f>
        <v>☐ Scanner.cal</v>
      </c>
      <c r="O82" s="395" t="str">
        <f>IF(AND(ROW(L82)&gt;=9,ROW(L82)&lt;=38),"☐ RegentTarget.blu","")</f>
        <v/>
      </c>
      <c r="P82" s="302"/>
      <c r="Q82" s="302"/>
    </row>
    <row r="83" spans="1:17" ht="24" customHeight="1" x14ac:dyDescent="0.2">
      <c r="A83" s="562" t="s">
        <v>269</v>
      </c>
      <c r="B83" s="311" t="s">
        <v>269</v>
      </c>
      <c r="C83" s="395" t="s">
        <v>159</v>
      </c>
      <c r="D83" s="395" t="str">
        <f xml:space="preserve"> IF(N("If it is Cam, Do not Show XL")+AND(ROW(D83)&gt;=189,ROW(D83)&lt;=218),"","☐ XL Man")</f>
        <v>☐ XL Man</v>
      </c>
      <c r="E83" s="570" t="str">
        <f>IF(N("Si OR dessous = vrai, pas de box")+OR(
N("1 OR Tron ou CELL")+OR(AND(ROW(K82)&gt;=39,ROW(K82)&lt;=68),AND(ROW(K82)&gt;=99,ROW(K82)&lt;=128)),
N("2 Pas de système scanopy and range opy")+AND(ROW(K82)&gt;=219,ROW(K82)&lt;=248,SCANOPY_N_System&lt;2),
N("3 Avec LC")&amp;IF(ISERROR(LEFT(J81,SEARCH("00",J81)-3)),"",LEFT(J81,SEARCH("00",J81)-3))="LC"),"","☐ ")
&amp;
IF(N("If it's OPY, put OMount Manual instead")+
AND(ROW(J82)&gt;=219,ROW(J82)&lt;=248),
IF(SCANOPY_N_System&gt;1,"OMount Man",""),
IF(N("If it is Cell or Tron, Do not Show Scanner related items")+OR(
AND(ROW(K82)&gt;=39,ROW(K82)&lt;=68),
AND(ROW(K82)&gt;=99,ROW(K82)&lt;=128)),
    "", IF(1=N("Si système a un scanner différent du Scanner populaire alors différent, sinon Scanner populaire")+AND(NOT(ISERROR(SEARCH("System",J81))),LEFT(J81,2)&lt;&gt;LEFT(PROD_MostPopularScanner,2)),
LEFT(J81,SEARCH("00",J81)-3),
PROD_MostPopularScanner) &amp; " Install Man"))</f>
        <v>☐ Scan. Install Man</v>
      </c>
      <c r="F83" s="509" t="s">
        <v>285</v>
      </c>
      <c r="G83" s="395" t="s">
        <v>284</v>
      </c>
      <c r="H83" s="572" t="s">
        <v>260</v>
      </c>
      <c r="I83" s="510"/>
      <c r="J83" s="395" t="s">
        <v>160</v>
      </c>
      <c r="K83" s="353"/>
      <c r="L83" s="572" t="s">
        <v>734</v>
      </c>
      <c r="M83" s="395"/>
      <c r="N83" s="509"/>
      <c r="O83" s="395"/>
      <c r="P83" s="302"/>
      <c r="Q83" s="302"/>
    </row>
    <row r="84" spans="1:17" ht="16.25" customHeight="1" x14ac:dyDescent="0.2">
      <c r="A84" s="550"/>
      <c r="B84" s="380"/>
      <c r="C84" s="828" t="str">
        <f>IF((RHIZO_N_UpgradeUpdate + RHIZO_N_Software ) = 2,"",LEFT(INDEX(RHIZO_SoftwareFullNames,RHIZO_IndexSoftware),FIND(" ",INDEX(RHIZO_SoftwareFullNames,RHIZO_IndexSoftware),FIND(" ",INDEX(RHIZO_SoftwareFullNames,RHIZO_IndexSoftware))+1)) &amp;
RHIZO_YearMostRecent )</f>
        <v/>
      </c>
      <c r="D84" s="828"/>
      <c r="E84" s="388"/>
      <c r="F84" s="388"/>
      <c r="G84" s="359" t="str">
        <f>IF(RHIZO_OptionXL*(RHIZO_N_Software+RHIZO_N_UpgradeUpdate-2)&gt;=((ROW(G84)-ROW($G$69))/4+1),"XLRHIZO "&amp; RHIZO_YearMostRecent,"")</f>
        <v/>
      </c>
      <c r="H84" s="335"/>
      <c r="I84" s="335"/>
      <c r="J84" s="359" t="str">
        <f>IF(RHIZO_N_System-1&gt;=((ROW(G84)-ROW($G$69))/4+1),IF(RHIZO_IndexScanner=1,"STD4800","LA2400") &amp; " System"&amp; IF(AND(RHIZO_ClientWithOrWithoutScanner=2,RHIZO_N_System&gt;1)," Sans Scanner"," Avec Scanner"),
IF(AND(RHIZO_N_Software&gt;RHIZO_N_System,RHIZO_N_Software-1&gt;((ROW(G84)-ROW($G$69))/4+1)),IF(N_SystemTotal=0,"Software Only",IF(N_STDScanners+N_LAScanners+N_LCScanners=0,"Software Sans Scanner","Software Avec Scanner")),
IF(RHIZO_N_UpgradeUpdate-1&gt;=((ROW(G84)-ROW($G$69))/4+1)-(MAX(RHIZO_N_System,RHIZO_N_Software)-1),"Update","")))</f>
        <v/>
      </c>
      <c r="K84" s="335"/>
      <c r="L84" s="334"/>
      <c r="M84" s="334"/>
      <c r="N84" s="334"/>
      <c r="O84" s="302"/>
      <c r="P84" s="302"/>
      <c r="Q84" s="302"/>
    </row>
    <row r="85" spans="1:17" ht="24" customHeight="1" x14ac:dyDescent="0.2">
      <c r="A85" s="562" t="s">
        <v>268</v>
      </c>
      <c r="B85" s="375" t="s">
        <v>268</v>
      </c>
      <c r="C85" s="507" t="str">
        <f>"☐☐ Win" &amp;
IF(INT((ROW(D85)-10)/30)+1=1,"DEN","")&amp;
IF(INT((ROW(D85)-10)/30)+1=2,"CEL","")&amp;
IF(INT((ROW(D85)-10)/30)+1=3,"RHI","")&amp;
IF(INT((ROW(D85)-10)/30)+1=4,"RT","")&amp;
IF(INT((ROW(D85)-10)/30)+1=5,"FOL","")&amp;
IF(INT((ROW(D85)-10)/30)+1=6,"SEE","")&amp;
IF(INT((ROW(D85)-10)/30)+1=7,"CAM","")&amp;
IF(INT((ROW(D85)-10)/30)+1=8,"SCA","") &amp; ".exe"</f>
        <v>☐☐ WinRHI.exe</v>
      </c>
      <c r="D85" s="507" t="str">
        <f xml:space="preserve"> IF(N("If it is Cam, Do not Show XL")+AND(ROW(D85)&gt;=189,ROW(D85)&lt;=218),"","☐ XL" &amp;
IF(INT((ROW(D85)-10)/30)+1=1,"STEM","")&amp;
IF(INT((ROW(D85)-10)/30)+1=2,"Cell","")&amp;
IF(INT((ROW(D85)-10)/30)+1=3,"Rhizo","")&amp;
IF(INT((ROW(D85)-10)/30)+1=4,"RhizoT","")&amp;
IF(INT((ROW(D85)-10)/30)+1=5,"Folia","")&amp;
IF(INT((ROW(D85)-10)/30)+1=6,"Seedle","")&amp;
IF(INT((ROW(D85)-10)/30)+1=7,"Cam","")&amp;
IF(INT((ROW(D85)-10)/30)+1=8,"Scanopy","") &amp; ".xls")</f>
        <v>☐ XLRhizo.xls</v>
      </c>
      <c r="E85" s="507" t="s">
        <v>309</v>
      </c>
      <c r="F85" s="508" t="s">
        <v>159</v>
      </c>
      <c r="G85" s="507" t="str">
        <f xml:space="preserve"> IF(N("If it is Cam, Do not Show XL")+AND(ROW(G85)&gt;=189,ROW(G85)&lt;=218),"","☐ XL Man")</f>
        <v>☐ XL Man</v>
      </c>
      <c r="H85" s="508" t="s">
        <v>290</v>
      </c>
      <c r="I85" s="395" t="s">
        <v>284</v>
      </c>
      <c r="J85" s="508" t="str">
        <f>IF(N("Si OR dessous = vrai, pas de box")+OR(
N("1 OR Tron ou CELL")+OR(AND(ROW(E85)&gt;=39,ROW(E85)&lt;=68),AND(ROW(E85)&gt;=99,ROW(E85)&lt;=128)),
N("2 Pas de système scanopy and range opy")+AND(ROW(E85)&gt;=219,ROW(E85)&lt;=248,SCANOPY_N_System&lt;2),
N("3 Avec LC")&amp;IF(ISERROR(LEFT(D84,SEARCH("00",D84)-3)),"",LEFT(D84,SEARCH("00",D84)-3))="LC"),"","☐ ")
&amp;
IF(N("If it's OPY, put OMount Manual instead")+
AND(ROW(D85)&gt;=219,ROW(D85)&lt;=248),
IF(SCANOPY_N_System&gt;1,
IF(SCANOPY_IndexScanner=1,"α" &amp; SCANOPY_CameraModel,SCANOPY_CameraModel_Mini) &amp; " Man",""),
IF(N("If it is Cell or Tron, Do not Show Scanner related items+No Video if LC")+OR(
AND(ROW(E85)&gt;=39,ROW(E85)&lt;=68),
AND(ROW(E85)&gt;=99,ROW(E85)&lt;=128)),
    "", IF(1=N("Si système a un scanner différent du Scanner populaire alors différent, sinon Scanner populaire")+AND(NOT(ISERROR(SEARCH("System",D84))),LEFT(D84,2)&lt;&gt;LEFT(PROD_MostPopularScanner,2)),
LEFT(D84,SEARCH("00",D84)-3),
PROD_MostPopularScanner) &amp; " Install Man"))</f>
        <v>☐ Scan. Install Man</v>
      </c>
      <c r="K85" s="507" t="str">
        <f>IF(N("If it is Cell or Tron or OPY, Do not Show Twain")+OR(AND(ROW(K85)&gt;=39,ROW(K85)&lt;=68),AND(ROW(K85)&gt;=99,ROW(K85)&lt;=128),AND(ROW(J85)&gt;=219,ROW(J85)&lt;=248)),"","☐ TWAIN")</f>
        <v>☐ TWAIN</v>
      </c>
      <c r="L85" s="508" t="str">
        <f>IF(N("Si OR dessous = vrai, pas de box")+OR(
N("1 OR Dendro+CELL, Tron+Folia,Cam")+OR(
AND(ROW(K85)&gt;=9,ROW(K85)&lt;=68),
AND(ROW(K85)&gt;=99,ROW(K85)&lt;=158),
AND(ROW(K85)&gt;=189,ROW(K85)&lt;=218)),
N("2 Pas de système scanopy and range opy")+AND(ROW(K85)&gt;=219,ROW(K85)&lt;=248,SCANOPY_N_System&lt;2),
N("3 Avec LC")&amp;IF(ISERROR(LEFT(J84,SEARCH("00",J84)-3)),"",LEFT(J84,SEARCH("00",J84)-3))="LC"),"","☐ ")
&amp;
IF(N("If it's OPY, put OMount Manual instead")+
AND(ROW(J85)&gt;=219,ROW(J85)&lt;=248),
IF(SCANOPY_N_System&gt;1,"OMount Man",""),
IF(N("If it is Dendro+CELL, Tron+Folia or Cam, Do not Show Scanner related items+No Video if LC")+OR(
AND(ROW(K85)&gt;=9,ROW(K85)&lt;=68),
AND(ROW(K85)&gt;=99,ROW(K85)&lt;=158),
AND(ROW(K85)&gt;=189,ROW(K85)&lt;=218),
IF(ISERROR(LEFT(J84,SEARCH("00",J84)-3)),"",LEFT(J84,SEARCH("00",J84)-3))="LC"),
    "", "Video " &amp; IF(1=N("Si système a un scanner différent du Scanner populaire alors différent, sinon Scanner populaire")+AND(NOT(ISERROR(SEARCH("System",J84))),LEFT(J84,2)&lt;&gt;LEFT(PROD_MostPopularScanner,2)),
LEFT(J84,SEARCH("00",J84)-3),
PROD_MostPopularScanner) &amp; " Install"))</f>
        <v>☐ Video Scan. Install</v>
      </c>
      <c r="M85" s="507" t="str">
        <f>IF(N("If it is Dendro or Tron, Do not Show Color Analysis Video")+
OR(AND(ROW(L85)&gt;=9,ROW(L85)&lt;=38),
AND(ROW(L85)&gt;=99,ROW(L85)&lt;=128)), "","☐ Video ClrAna")</f>
        <v>☐ Video ClrAna</v>
      </c>
      <c r="N85" s="508" t="str">
        <f>IF(OR(INT((ROW(D85)-10)/30)+1=2,INT((ROW(D85)-10)/30)+1=4),"","☐ ")&amp;
IF(INT((ROW(D85)-10)/30)+1=1,"Scanner.cal","")&amp;
IF(INT((ROW(D85)-10)/30)+1=2,"","")&amp;
IF(INT((ROW(D85)-10)/30)+1=3,"Scanner.cal","")&amp;
IF(INT((ROW(D85)-10)/30)+1=4,"","")&amp;
IF(INT((ROW(D85)-10)/30)+1=5,"Scanner.cal","")&amp;
IF(INT((ROW(D85)-10)/30)+1=6,"Scanner.cal","")&amp;
IF(INT((ROW(D85)-10)/30)+1=7,"Scanner.cal","")&amp;
IF(INT((ROW(D85)-10)/30)+1=8,IF(SCANOPY_Camera, "Indiv", "Gen")&amp; " Lens.cal","")</f>
        <v>☐ Scanner.cal</v>
      </c>
      <c r="O85" s="395" t="str">
        <f>IF(AND(ROW(L85)&gt;=9,ROW(L85)&lt;=38),"☐ RegentTarget.blu","")</f>
        <v/>
      </c>
      <c r="P85" s="302"/>
      <c r="Q85" s="302"/>
    </row>
    <row r="86" spans="1:17" ht="24" customHeight="1" x14ac:dyDescent="0.2">
      <c r="A86" s="562" t="s">
        <v>269</v>
      </c>
      <c r="B86" s="311" t="s">
        <v>269</v>
      </c>
      <c r="C86" s="395" t="s">
        <v>159</v>
      </c>
      <c r="D86" s="395" t="str">
        <f xml:space="preserve"> IF(N("If it is Cam, Do not Show XL")+AND(ROW(D86)&gt;=189,ROW(D86)&lt;=218),"","☐ XL Man")</f>
        <v>☐ XL Man</v>
      </c>
      <c r="E86" s="570" t="str">
        <f>IF(N("Si OR dessous = vrai, pas de box")+OR(
N("1 OR Tron ou CELL")+OR(AND(ROW(K85)&gt;=39,ROW(K85)&lt;=68),AND(ROW(K85)&gt;=99,ROW(K85)&lt;=128)),
N("2 Pas de système scanopy and range opy")+AND(ROW(K85)&gt;=219,ROW(K85)&lt;=248,SCANOPY_N_System&lt;2),
N("3 Avec LC")&amp;IF(ISERROR(LEFT(J84,SEARCH("00",J84)-3)),"",LEFT(J84,SEARCH("00",J84)-3))="LC"),"","☐ ")
&amp;
IF(N("If it's OPY, put OMount Manual instead")+
AND(ROW(J85)&gt;=219,ROW(J85)&lt;=248),
IF(SCANOPY_N_System&gt;1,"OMount Man",""),
IF(N("If it is Cell or Tron, Do not Show Scanner related items")+OR(
AND(ROW(K85)&gt;=39,ROW(K85)&lt;=68),
AND(ROW(K85)&gt;=99,ROW(K85)&lt;=128)),
    "", IF(1=N("Si système a un scanner différent du Scanner populaire alors différent, sinon Scanner populaire")+AND(NOT(ISERROR(SEARCH("System",J84))),LEFT(J84,2)&lt;&gt;LEFT(PROD_MostPopularScanner,2)),
LEFT(J84,SEARCH("00",J84)-3),
PROD_MostPopularScanner) &amp; " Install Man"))</f>
        <v>☐ Scan. Install Man</v>
      </c>
      <c r="F86" s="509" t="s">
        <v>285</v>
      </c>
      <c r="G86" s="395" t="s">
        <v>284</v>
      </c>
      <c r="H86" s="572" t="s">
        <v>260</v>
      </c>
      <c r="I86" s="510"/>
      <c r="J86" s="395" t="s">
        <v>160</v>
      </c>
      <c r="K86" s="353"/>
      <c r="L86" s="572" t="s">
        <v>734</v>
      </c>
      <c r="M86" s="395"/>
      <c r="N86" s="509"/>
      <c r="O86" s="395"/>
      <c r="P86" s="302"/>
      <c r="Q86" s="302"/>
    </row>
    <row r="87" spans="1:17" ht="16.25" customHeight="1" x14ac:dyDescent="0.2">
      <c r="A87" s="550"/>
      <c r="B87" s="380"/>
      <c r="C87" s="828" t="str">
        <f>IF((RHIZO_N_UpgradeUpdate + RHIZO_N_Software ) = 2,"",LEFT(INDEX(RHIZO_SoftwareFullNames,RHIZO_IndexSoftware),FIND(" ",INDEX(RHIZO_SoftwareFullNames,RHIZO_IndexSoftware),FIND(" ",INDEX(RHIZO_SoftwareFullNames,RHIZO_IndexSoftware))+1)) &amp;
RHIZO_YearMostRecent )</f>
        <v/>
      </c>
      <c r="D87" s="828"/>
      <c r="E87" s="388"/>
      <c r="F87" s="388"/>
      <c r="G87" s="359" t="str">
        <f>IF(RHIZO_OptionXL*(RHIZO_N_Software+RHIZO_N_UpgradeUpdate-2)&gt;=((ROW(G87)-ROW($G$69))/4+1),"XLRHIZO "&amp; RHIZO_YearMostRecent,"")</f>
        <v/>
      </c>
      <c r="H87" s="335"/>
      <c r="I87" s="335"/>
      <c r="J87" s="359" t="str">
        <f>IF(RHIZO_N_System-1&gt;=((ROW(G87)-ROW($G$69))/4+1),IF(RHIZO_IndexScanner=1,"STD4800","LA2400") &amp; " System"&amp; IF(AND(RHIZO_ClientWithOrWithoutScanner=2,RHIZO_N_System&gt;1)," Sans Scanner"," Avec Scanner"),
IF(AND(RHIZO_N_Software&gt;RHIZO_N_System,RHIZO_N_Software-1&gt;((ROW(G87)-ROW($G$69))/4+1)),IF(N_SystemTotal=0,"Software Only",IF(N_STDScanners+N_LAScanners+N_LCScanners=0,"Software Sans Scanner","Software Avec Scanner")),
IF(RHIZO_N_UpgradeUpdate-1&gt;=((ROW(G87)-ROW($G$69))/4+1)-(MAX(RHIZO_N_System,RHIZO_N_Software)-1),"Update","")))</f>
        <v/>
      </c>
      <c r="K87" s="335"/>
      <c r="L87" s="334"/>
      <c r="M87" s="334"/>
      <c r="N87" s="334"/>
      <c r="O87" s="302"/>
      <c r="P87" s="302"/>
      <c r="Q87" s="302"/>
    </row>
    <row r="88" spans="1:17" ht="24" customHeight="1" x14ac:dyDescent="0.2">
      <c r="A88" s="562" t="s">
        <v>268</v>
      </c>
      <c r="B88" s="375" t="s">
        <v>268</v>
      </c>
      <c r="C88" s="507" t="str">
        <f>"☐☐ Win" &amp;
IF(INT((ROW(D88)-10)/30)+1=1,"DEN","")&amp;
IF(INT((ROW(D88)-10)/30)+1=2,"CEL","")&amp;
IF(INT((ROW(D88)-10)/30)+1=3,"RHI","")&amp;
IF(INT((ROW(D88)-10)/30)+1=4,"RT","")&amp;
IF(INT((ROW(D88)-10)/30)+1=5,"FOL","")&amp;
IF(INT((ROW(D88)-10)/30)+1=6,"SEE","")&amp;
IF(INT((ROW(D88)-10)/30)+1=7,"CAM","")&amp;
IF(INT((ROW(D88)-10)/30)+1=8,"SCA","") &amp; ".exe"</f>
        <v>☐☐ WinRHI.exe</v>
      </c>
      <c r="D88" s="507" t="str">
        <f xml:space="preserve"> IF(N("If it is Cam, Do not Show XL")+AND(ROW(D88)&gt;=189,ROW(D88)&lt;=218),"","☐ XL" &amp;
IF(INT((ROW(D88)-10)/30)+1=1,"STEM","")&amp;
IF(INT((ROW(D88)-10)/30)+1=2,"Cell","")&amp;
IF(INT((ROW(D88)-10)/30)+1=3,"Rhizo","")&amp;
IF(INT((ROW(D88)-10)/30)+1=4,"RhizoT","")&amp;
IF(INT((ROW(D88)-10)/30)+1=5,"Folia","")&amp;
IF(INT((ROW(D88)-10)/30)+1=6,"Seedle","")&amp;
IF(INT((ROW(D88)-10)/30)+1=7,"Cam","")&amp;
IF(INT((ROW(D88)-10)/30)+1=8,"Scanopy","") &amp; ".xls")</f>
        <v>☐ XLRhizo.xls</v>
      </c>
      <c r="E88" s="507" t="s">
        <v>309</v>
      </c>
      <c r="F88" s="508" t="s">
        <v>159</v>
      </c>
      <c r="G88" s="507" t="str">
        <f xml:space="preserve"> IF(N("If it is Cam, Do not Show XL")+AND(ROW(G88)&gt;=189,ROW(G88)&lt;=218),"","☐ XL Man")</f>
        <v>☐ XL Man</v>
      </c>
      <c r="H88" s="508" t="s">
        <v>290</v>
      </c>
      <c r="I88" s="395" t="s">
        <v>284</v>
      </c>
      <c r="J88" s="508" t="str">
        <f>IF(N("Si OR dessous = vrai, pas de box")+OR(
N("1 OR Tron ou CELL")+OR(AND(ROW(E88)&gt;=39,ROW(E88)&lt;=68),AND(ROW(E88)&gt;=99,ROW(E88)&lt;=128)),
N("2 Pas de système scanopy and range opy")+AND(ROW(E88)&gt;=219,ROW(E88)&lt;=248,SCANOPY_N_System&lt;2),
N("3 Avec LC")&amp;IF(ISERROR(LEFT(D87,SEARCH("00",D87)-3)),"",LEFT(D87,SEARCH("00",D87)-3))="LC"),"","☐ ")
&amp;
IF(N("If it's OPY, put OMount Manual instead")+
AND(ROW(D88)&gt;=219,ROW(D88)&lt;=248),
IF(SCANOPY_N_System&gt;1,
IF(SCANOPY_IndexScanner=1,"α" &amp; SCANOPY_CameraModel,SCANOPY_CameraModel_Mini) &amp; " Man",""),
IF(N("If it is Cell or Tron, Do not Show Scanner related items+No Video if LC")+OR(
AND(ROW(E88)&gt;=39,ROW(E88)&lt;=68),
AND(ROW(E88)&gt;=99,ROW(E88)&lt;=128)),
    "", IF(1=N("Si système a un scanner différent du Scanner populaire alors différent, sinon Scanner populaire")+AND(NOT(ISERROR(SEARCH("System",D87))),LEFT(D87,2)&lt;&gt;LEFT(PROD_MostPopularScanner,2)),
LEFT(D87,SEARCH("00",D87)-3),
PROD_MostPopularScanner) &amp; " Install Man"))</f>
        <v>☐ Scan. Install Man</v>
      </c>
      <c r="K88" s="507" t="str">
        <f>IF(N("If it is Cell or Tron or OPY, Do not Show Twain")+OR(AND(ROW(K88)&gt;=39,ROW(K88)&lt;=68),AND(ROW(K88)&gt;=99,ROW(K88)&lt;=128),AND(ROW(J88)&gt;=219,ROW(J88)&lt;=248)),"","☐ TWAIN")</f>
        <v>☐ TWAIN</v>
      </c>
      <c r="L88" s="508" t="str">
        <f>IF(N("Si OR dessous = vrai, pas de box")+OR(
N("1 OR Dendro+CELL, Tron+Folia,Cam")+OR(
AND(ROW(K88)&gt;=9,ROW(K88)&lt;=68),
AND(ROW(K88)&gt;=99,ROW(K88)&lt;=158),
AND(ROW(K88)&gt;=189,ROW(K88)&lt;=218)),
N("2 Pas de système scanopy and range opy")+AND(ROW(K88)&gt;=219,ROW(K88)&lt;=248,SCANOPY_N_System&lt;2),
N("3 Avec LC")&amp;IF(ISERROR(LEFT(J87,SEARCH("00",J87)-3)),"",LEFT(J87,SEARCH("00",J87)-3))="LC"),"","☐ ")
&amp;
IF(N("If it's OPY, put OMount Manual instead")+
AND(ROW(J88)&gt;=219,ROW(J88)&lt;=248),
IF(SCANOPY_N_System&gt;1,"OMount Man",""),
IF(N("If it is Dendro+CELL, Tron+Folia or Cam, Do not Show Scanner related items+No Video if LC")+OR(
AND(ROW(K88)&gt;=9,ROW(K88)&lt;=68),
AND(ROW(K88)&gt;=99,ROW(K88)&lt;=158),
AND(ROW(K88)&gt;=189,ROW(K88)&lt;=218),
IF(ISERROR(LEFT(J87,SEARCH("00",J87)-3)),"",LEFT(J87,SEARCH("00",J87)-3))="LC"),
    "", "Video " &amp; IF(1=N("Si système a un scanner différent du Scanner populaire alors différent, sinon Scanner populaire")+AND(NOT(ISERROR(SEARCH("System",J87))),LEFT(J87,2)&lt;&gt;LEFT(PROD_MostPopularScanner,2)),
LEFT(J87,SEARCH("00",J87)-3),
PROD_MostPopularScanner) &amp; " Install"))</f>
        <v>☐ Video Scan. Install</v>
      </c>
      <c r="M88" s="507" t="str">
        <f>IF(N("If it is Dendro or Tron, Do not Show Color Analysis Video")+
OR(AND(ROW(L88)&gt;=9,ROW(L88)&lt;=38),
AND(ROW(L88)&gt;=99,ROW(L88)&lt;=128)), "","☐ Video ClrAna")</f>
        <v>☐ Video ClrAna</v>
      </c>
      <c r="N88" s="508" t="str">
        <f>IF(OR(INT((ROW(D88)-10)/30)+1=2,INT((ROW(D88)-10)/30)+1=4),"","☐ ")&amp;
IF(INT((ROW(D88)-10)/30)+1=1,"Scanner.cal","")&amp;
IF(INT((ROW(D88)-10)/30)+1=2,"","")&amp;
IF(INT((ROW(D88)-10)/30)+1=3,"Scanner.cal","")&amp;
IF(INT((ROW(D88)-10)/30)+1=4,"","")&amp;
IF(INT((ROW(D88)-10)/30)+1=5,"Scanner.cal","")&amp;
IF(INT((ROW(D88)-10)/30)+1=6,"Scanner.cal","")&amp;
IF(INT((ROW(D88)-10)/30)+1=7,"Scanner.cal","")&amp;
IF(INT((ROW(D88)-10)/30)+1=8,IF(SCANOPY_Camera, "Indiv", "Gen")&amp; " Lens.cal","")</f>
        <v>☐ Scanner.cal</v>
      </c>
      <c r="O88" s="395" t="str">
        <f>IF(AND(ROW(L88)&gt;=9,ROW(L88)&lt;=38),"☐ RegentTarget.blu","")</f>
        <v/>
      </c>
      <c r="P88" s="302"/>
      <c r="Q88" s="302"/>
    </row>
    <row r="89" spans="1:17" ht="24" customHeight="1" x14ac:dyDescent="0.2">
      <c r="A89" s="562" t="s">
        <v>269</v>
      </c>
      <c r="B89" s="311" t="s">
        <v>269</v>
      </c>
      <c r="C89" s="395" t="s">
        <v>159</v>
      </c>
      <c r="D89" s="395" t="str">
        <f xml:space="preserve"> IF(N("If it is Cam, Do not Show XL")+AND(ROW(D89)&gt;=189,ROW(D89)&lt;=218),"","☐ XL Man")</f>
        <v>☐ XL Man</v>
      </c>
      <c r="E89" s="570" t="str">
        <f>IF(N("Si OR dessous = vrai, pas de box")+OR(
N("1 OR Tron ou CELL")+OR(AND(ROW(K88)&gt;=39,ROW(K88)&lt;=68),AND(ROW(K88)&gt;=99,ROW(K88)&lt;=128)),
N("2 Pas de système scanopy and range opy")+AND(ROW(K88)&gt;=219,ROW(K88)&lt;=248,SCANOPY_N_System&lt;2),
N("3 Avec LC")&amp;IF(ISERROR(LEFT(J87,SEARCH("00",J87)-3)),"",LEFT(J87,SEARCH("00",J87)-3))="LC"),"","☐ ")
&amp;
IF(N("If it's OPY, put OMount Manual instead")+
AND(ROW(J88)&gt;=219,ROW(J88)&lt;=248),
IF(SCANOPY_N_System&gt;1,"OMount Man",""),
IF(N("If it is Cell or Tron, Do not Show Scanner related items")+OR(
AND(ROW(K88)&gt;=39,ROW(K88)&lt;=68),
AND(ROW(K88)&gt;=99,ROW(K88)&lt;=128)),
    "", IF(1=N("Si système a un scanner différent du Scanner populaire alors différent, sinon Scanner populaire")+AND(NOT(ISERROR(SEARCH("System",J87))),LEFT(J87,2)&lt;&gt;LEFT(PROD_MostPopularScanner,2)),
LEFT(J87,SEARCH("00",J87)-3),
PROD_MostPopularScanner) &amp; " Install Man"))</f>
        <v>☐ Scan. Install Man</v>
      </c>
      <c r="F89" s="509" t="s">
        <v>285</v>
      </c>
      <c r="G89" s="395" t="s">
        <v>284</v>
      </c>
      <c r="H89" s="572" t="s">
        <v>260</v>
      </c>
      <c r="I89" s="510"/>
      <c r="J89" s="395" t="s">
        <v>160</v>
      </c>
      <c r="K89" s="353"/>
      <c r="L89" s="572" t="s">
        <v>734</v>
      </c>
      <c r="M89" s="395"/>
      <c r="N89" s="509"/>
      <c r="O89" s="395"/>
      <c r="P89" s="302"/>
      <c r="Q89" s="302"/>
    </row>
    <row r="90" spans="1:17" ht="16.25" customHeight="1" x14ac:dyDescent="0.2">
      <c r="A90" s="550"/>
      <c r="B90" s="380"/>
      <c r="C90" s="828" t="str">
        <f>IF((RHIZO_N_UpgradeUpdate + RHIZO_N_Software ) = 2,"",LEFT(INDEX(RHIZO_SoftwareFullNames,RHIZO_IndexSoftware),FIND(" ",INDEX(RHIZO_SoftwareFullNames,RHIZO_IndexSoftware),FIND(" ",INDEX(RHIZO_SoftwareFullNames,RHIZO_IndexSoftware))+1)) &amp;
RHIZO_YearMostRecent )</f>
        <v/>
      </c>
      <c r="D90" s="828"/>
      <c r="E90" s="388"/>
      <c r="F90" s="388"/>
      <c r="G90" s="359" t="str">
        <f>IF(RHIZO_OptionXL*(RHIZO_N_Software+RHIZO_N_UpgradeUpdate-2)&gt;=((ROW(G90)-ROW($G$69))/4+1),"XLRHIZO "&amp; RHIZO_YearMostRecent,"")</f>
        <v/>
      </c>
      <c r="H90" s="335"/>
      <c r="I90" s="335"/>
      <c r="J90" s="359" t="str">
        <f>IF(RHIZO_N_System-1&gt;=((ROW(G90)-ROW($G$69))/4+1),IF(RHIZO_IndexScanner=1,"STD4800","LA2400") &amp; " System"&amp; IF(AND(RHIZO_ClientWithOrWithoutScanner=2,RHIZO_N_System&gt;1)," Sans Scanner"," Avec Scanner"),
IF(AND(RHIZO_N_Software&gt;RHIZO_N_System,RHIZO_N_Software-1&gt;((ROW(G90)-ROW($G$69))/4+1)),IF(N_SystemTotal=0,"Software Only",IF(N_STDScanners+N_LAScanners+N_LCScanners=0,"Software Sans Scanner","Software Avec Scanner")),
IF(RHIZO_N_UpgradeUpdate-1&gt;=((ROW(G90)-ROW($G$69))/4+1)-(MAX(RHIZO_N_System,RHIZO_N_Software)-1),"Update","")))</f>
        <v/>
      </c>
      <c r="K90" s="335"/>
      <c r="L90" s="334"/>
      <c r="M90" s="334"/>
      <c r="N90" s="334"/>
      <c r="O90" s="302"/>
      <c r="P90" s="302"/>
      <c r="Q90" s="302"/>
    </row>
    <row r="91" spans="1:17" ht="24" customHeight="1" x14ac:dyDescent="0.2">
      <c r="A91" s="562" t="s">
        <v>268</v>
      </c>
      <c r="B91" s="375" t="s">
        <v>268</v>
      </c>
      <c r="C91" s="507" t="str">
        <f>"☐☐ Win" &amp;
IF(INT((ROW(D91)-10)/30)+1=1,"DEN","")&amp;
IF(INT((ROW(D91)-10)/30)+1=2,"CEL","")&amp;
IF(INT((ROW(D91)-10)/30)+1=3,"RHI","")&amp;
IF(INT((ROW(D91)-10)/30)+1=4,"RT","")&amp;
IF(INT((ROW(D91)-10)/30)+1=5,"FOL","")&amp;
IF(INT((ROW(D91)-10)/30)+1=6,"SEE","")&amp;
IF(INT((ROW(D91)-10)/30)+1=7,"CAM","")&amp;
IF(INT((ROW(D91)-10)/30)+1=8,"SCA","") &amp; ".exe"</f>
        <v>☐☐ WinRHI.exe</v>
      </c>
      <c r="D91" s="507" t="str">
        <f xml:space="preserve"> IF(N("If it is Cam, Do not Show XL")+AND(ROW(D91)&gt;=189,ROW(D91)&lt;=218),"","☐ XL" &amp;
IF(INT((ROW(D91)-10)/30)+1=1,"STEM","")&amp;
IF(INT((ROW(D91)-10)/30)+1=2,"Cell","")&amp;
IF(INT((ROW(D91)-10)/30)+1=3,"Rhizo","")&amp;
IF(INT((ROW(D91)-10)/30)+1=4,"RhizoT","")&amp;
IF(INT((ROW(D91)-10)/30)+1=5,"Folia","")&amp;
IF(INT((ROW(D91)-10)/30)+1=6,"Seedle","")&amp;
IF(INT((ROW(D91)-10)/30)+1=7,"Cam","")&amp;
IF(INT((ROW(D91)-10)/30)+1=8,"Scanopy","") &amp; ".xls")</f>
        <v>☐ XLRhizo.xls</v>
      </c>
      <c r="E91" s="507" t="s">
        <v>309</v>
      </c>
      <c r="F91" s="508" t="s">
        <v>159</v>
      </c>
      <c r="G91" s="507" t="str">
        <f xml:space="preserve"> IF(N("If it is Cam, Do not Show XL")+AND(ROW(G91)&gt;=189,ROW(G91)&lt;=218),"","☐ XL Man")</f>
        <v>☐ XL Man</v>
      </c>
      <c r="H91" s="508" t="s">
        <v>290</v>
      </c>
      <c r="I91" s="395" t="s">
        <v>284</v>
      </c>
      <c r="J91" s="508" t="str">
        <f>IF(N("Si OR dessous = vrai, pas de box")+OR(
N("1 OR Tron ou CELL")+OR(AND(ROW(E91)&gt;=39,ROW(E91)&lt;=68),AND(ROW(E91)&gt;=99,ROW(E91)&lt;=128)),
N("2 Pas de système scanopy and range opy")+AND(ROW(E91)&gt;=219,ROW(E91)&lt;=248,SCANOPY_N_System&lt;2),
N("3 Avec LC")&amp;IF(ISERROR(LEFT(D90,SEARCH("00",D90)-3)),"",LEFT(D90,SEARCH("00",D90)-3))="LC"),"","☐ ")
&amp;
IF(N("If it's OPY, put OMount Manual instead")+
AND(ROW(D91)&gt;=219,ROW(D91)&lt;=248),
IF(SCANOPY_N_System&gt;1,
IF(SCANOPY_IndexScanner=1,"α" &amp; SCANOPY_CameraModel,SCANOPY_CameraModel_Mini) &amp; " Man",""),
IF(N("If it is Cell or Tron, Do not Show Scanner related items+No Video if LC")+OR(
AND(ROW(E91)&gt;=39,ROW(E91)&lt;=68),
AND(ROW(E91)&gt;=99,ROW(E91)&lt;=128)),
    "", IF(1=N("Si système a un scanner différent du Scanner populaire alors différent, sinon Scanner populaire")+AND(NOT(ISERROR(SEARCH("System",D90))),LEFT(D90,2)&lt;&gt;LEFT(PROD_MostPopularScanner,2)),
LEFT(D90,SEARCH("00",D90)-3),
PROD_MostPopularScanner) &amp; " Install Man"))</f>
        <v>☐ Scan. Install Man</v>
      </c>
      <c r="K91" s="507" t="str">
        <f>IF(N("If it is Cell or Tron or OPY, Do not Show Twain")+OR(AND(ROW(K91)&gt;=39,ROW(K91)&lt;=68),AND(ROW(K91)&gt;=99,ROW(K91)&lt;=128),AND(ROW(J91)&gt;=219,ROW(J91)&lt;=248)),"","☐ TWAIN")</f>
        <v>☐ TWAIN</v>
      </c>
      <c r="L91" s="508" t="str">
        <f>IF(N("Si OR dessous = vrai, pas de box")+OR(
N("1 OR Dendro+CELL, Tron+Folia,Cam")+OR(
AND(ROW(K91)&gt;=9,ROW(K91)&lt;=68),
AND(ROW(K91)&gt;=99,ROW(K91)&lt;=158),
AND(ROW(K91)&gt;=189,ROW(K91)&lt;=218)),
N("2 Pas de système scanopy and range opy")+AND(ROW(K91)&gt;=219,ROW(K91)&lt;=248,SCANOPY_N_System&lt;2),
N("3 Avec LC")&amp;IF(ISERROR(LEFT(J90,SEARCH("00",J90)-3)),"",LEFT(J90,SEARCH("00",J90)-3))="LC"),"","☐ ")
&amp;
IF(N("If it's OPY, put OMount Manual instead")+
AND(ROW(J91)&gt;=219,ROW(J91)&lt;=248),
IF(SCANOPY_N_System&gt;1,"OMount Man",""),
IF(N("If it is Dendro+CELL, Tron+Folia or Cam, Do not Show Scanner related items+No Video if LC")+OR(
AND(ROW(K91)&gt;=9,ROW(K91)&lt;=68),
AND(ROW(K91)&gt;=99,ROW(K91)&lt;=158),
AND(ROW(K91)&gt;=189,ROW(K91)&lt;=218),
IF(ISERROR(LEFT(J90,SEARCH("00",J90)-3)),"",LEFT(J90,SEARCH("00",J90)-3))="LC"),
    "", "Video " &amp; IF(1=N("Si système a un scanner différent du Scanner populaire alors différent, sinon Scanner populaire")+AND(NOT(ISERROR(SEARCH("System",J90))),LEFT(J90,2)&lt;&gt;LEFT(PROD_MostPopularScanner,2)),
LEFT(J90,SEARCH("00",J90)-3),
PROD_MostPopularScanner) &amp; " Install"))</f>
        <v>☐ Video Scan. Install</v>
      </c>
      <c r="M91" s="507" t="str">
        <f>IF(N("If it is Dendro or Tron, Do not Show Color Analysis Video")+
OR(AND(ROW(L91)&gt;=9,ROW(L91)&lt;=38),
AND(ROW(L91)&gt;=99,ROW(L91)&lt;=128)), "","☐ Video ClrAna")</f>
        <v>☐ Video ClrAna</v>
      </c>
      <c r="N91" s="508" t="str">
        <f>IF(OR(INT((ROW(D91)-10)/30)+1=2,INT((ROW(D91)-10)/30)+1=4),"","☐ ")&amp;
IF(INT((ROW(D91)-10)/30)+1=1,"Scanner.cal","")&amp;
IF(INT((ROW(D91)-10)/30)+1=2,"","")&amp;
IF(INT((ROW(D91)-10)/30)+1=3,"Scanner.cal","")&amp;
IF(INT((ROW(D91)-10)/30)+1=4,"","")&amp;
IF(INT((ROW(D91)-10)/30)+1=5,"Scanner.cal","")&amp;
IF(INT((ROW(D91)-10)/30)+1=6,"Scanner.cal","")&amp;
IF(INT((ROW(D91)-10)/30)+1=7,"Scanner.cal","")&amp;
IF(INT((ROW(D91)-10)/30)+1=8,IF(SCANOPY_Camera, "Indiv", "Gen")&amp; " Lens.cal","")</f>
        <v>☐ Scanner.cal</v>
      </c>
      <c r="O91" s="395" t="str">
        <f>IF(AND(ROW(L91)&gt;=9,ROW(L91)&lt;=38),"☐ RegentTarget.blu","")</f>
        <v/>
      </c>
      <c r="P91" s="302"/>
      <c r="Q91" s="302"/>
    </row>
    <row r="92" spans="1:17" ht="24" customHeight="1" x14ac:dyDescent="0.2">
      <c r="A92" s="562" t="s">
        <v>269</v>
      </c>
      <c r="B92" s="311" t="s">
        <v>269</v>
      </c>
      <c r="C92" s="395" t="s">
        <v>159</v>
      </c>
      <c r="D92" s="395" t="str">
        <f xml:space="preserve"> IF(N("If it is Cam, Do not Show XL")+AND(ROW(D92)&gt;=189,ROW(D92)&lt;=218),"","☐ XL Man")</f>
        <v>☐ XL Man</v>
      </c>
      <c r="E92" s="570" t="str">
        <f>IF(N("Si OR dessous = vrai, pas de box")+OR(
N("1 OR Tron ou CELL")+OR(AND(ROW(K91)&gt;=39,ROW(K91)&lt;=68),AND(ROW(K91)&gt;=99,ROW(K91)&lt;=128)),
N("2 Pas de système scanopy and range opy")+AND(ROW(K91)&gt;=219,ROW(K91)&lt;=248,SCANOPY_N_System&lt;2),
N("3 Avec LC")&amp;IF(ISERROR(LEFT(J90,SEARCH("00",J90)-3)),"",LEFT(J90,SEARCH("00",J90)-3))="LC"),"","☐ ")
&amp;
IF(N("If it's OPY, put OMount Manual instead")+
AND(ROW(J91)&gt;=219,ROW(J91)&lt;=248),
IF(SCANOPY_N_System&gt;1,"OMount Man",""),
IF(N("If it is Cell or Tron, Do not Show Scanner related items")+OR(
AND(ROW(K91)&gt;=39,ROW(K91)&lt;=68),
AND(ROW(K91)&gt;=99,ROW(K91)&lt;=128)),
    "", IF(1=N("Si système a un scanner différent du Scanner populaire alors différent, sinon Scanner populaire")+AND(NOT(ISERROR(SEARCH("System",J90))),LEFT(J90,2)&lt;&gt;LEFT(PROD_MostPopularScanner,2)),
LEFT(J90,SEARCH("00",J90)-3),
PROD_MostPopularScanner) &amp; " Install Man"))</f>
        <v>☐ Scan. Install Man</v>
      </c>
      <c r="F92" s="509" t="s">
        <v>285</v>
      </c>
      <c r="G92" s="395" t="s">
        <v>284</v>
      </c>
      <c r="H92" s="572" t="s">
        <v>260</v>
      </c>
      <c r="I92" s="510"/>
      <c r="J92" s="395" t="s">
        <v>160</v>
      </c>
      <c r="K92" s="353"/>
      <c r="L92" s="572" t="s">
        <v>734</v>
      </c>
      <c r="M92" s="395"/>
      <c r="N92" s="509"/>
      <c r="O92" s="395"/>
      <c r="P92" s="302"/>
      <c r="Q92" s="302"/>
    </row>
    <row r="93" spans="1:17" ht="16.25" customHeight="1" x14ac:dyDescent="0.2">
      <c r="A93" s="550"/>
      <c r="B93" s="380"/>
      <c r="C93" s="828" t="str">
        <f>IF((RHIZO_N_UpgradeUpdate + RHIZO_N_Software ) = 2,"",LEFT(INDEX(RHIZO_SoftwareFullNames,RHIZO_IndexSoftware),FIND(" ",INDEX(RHIZO_SoftwareFullNames,RHIZO_IndexSoftware),FIND(" ",INDEX(RHIZO_SoftwareFullNames,RHIZO_IndexSoftware))+1)) &amp;
RHIZO_YearMostRecent )</f>
        <v/>
      </c>
      <c r="D93" s="828"/>
      <c r="E93" s="388"/>
      <c r="F93" s="388"/>
      <c r="G93" s="359" t="str">
        <f>IF(RHIZO_OptionXL*(RHIZO_N_Software+RHIZO_N_UpgradeUpdate-2)&gt;=((ROW(G93)-ROW($G$69))/4+1),"XLRHIZO "&amp; RHIZO_YearMostRecent,"")</f>
        <v/>
      </c>
      <c r="H93" s="335"/>
      <c r="I93" s="335"/>
      <c r="J93" s="359" t="str">
        <f>IF(RHIZO_N_System-1&gt;=((ROW(G93)-ROW($G$69))/4+1),IF(RHIZO_IndexScanner=1,"STD4800","LA2400") &amp; " System"&amp; IF(AND(RHIZO_ClientWithOrWithoutScanner=2,RHIZO_N_System&gt;1)," Sans Scanner"," Avec Scanner"),
IF(AND(RHIZO_N_Software&gt;RHIZO_N_System,RHIZO_N_Software-1&gt;((ROW(G93)-ROW($G$69))/4+1)),IF(N_SystemTotal=0,"Software Only",IF(N_STDScanners+N_LAScanners+N_LCScanners=0,"Software Sans Scanner","Software Avec Scanner")),
IF(RHIZO_N_UpgradeUpdate-1&gt;=((ROW(G93)-ROW($G$69))/4+1)-(MAX(RHIZO_N_System,RHIZO_N_Software)-1),"Update","")))</f>
        <v/>
      </c>
      <c r="K93" s="335"/>
      <c r="L93" s="334"/>
      <c r="M93" s="334"/>
      <c r="N93" s="334"/>
      <c r="O93" s="302"/>
      <c r="P93" s="302"/>
      <c r="Q93" s="302"/>
    </row>
    <row r="94" spans="1:17" ht="24" customHeight="1" x14ac:dyDescent="0.2">
      <c r="A94" s="562" t="s">
        <v>268</v>
      </c>
      <c r="B94" s="375" t="s">
        <v>268</v>
      </c>
      <c r="C94" s="507" t="str">
        <f>"☐☐ Win" &amp;
IF(INT((ROW(D94)-10)/30)+1=1,"DEN","")&amp;
IF(INT((ROW(D94)-10)/30)+1=2,"CEL","")&amp;
IF(INT((ROW(D94)-10)/30)+1=3,"RHI","")&amp;
IF(INT((ROW(D94)-10)/30)+1=4,"RT","")&amp;
IF(INT((ROW(D94)-10)/30)+1=5,"FOL","")&amp;
IF(INT((ROW(D94)-10)/30)+1=6,"SEE","")&amp;
IF(INT((ROW(D94)-10)/30)+1=7,"CAM","")&amp;
IF(INT((ROW(D94)-10)/30)+1=8,"SCA","") &amp; ".exe"</f>
        <v>☐☐ WinRHI.exe</v>
      </c>
      <c r="D94" s="507" t="str">
        <f xml:space="preserve"> IF(N("If it is Cam, Do not Show XL")+AND(ROW(D94)&gt;=189,ROW(D94)&lt;=218),"","☐ XL" &amp;
IF(INT((ROW(D94)-10)/30)+1=1,"STEM","")&amp;
IF(INT((ROW(D94)-10)/30)+1=2,"Cell","")&amp;
IF(INT((ROW(D94)-10)/30)+1=3,"Rhizo","")&amp;
IF(INT((ROW(D94)-10)/30)+1=4,"RhizoT","")&amp;
IF(INT((ROW(D94)-10)/30)+1=5,"Folia","")&amp;
IF(INT((ROW(D94)-10)/30)+1=6,"Seedle","")&amp;
IF(INT((ROW(D94)-10)/30)+1=7,"Cam","")&amp;
IF(INT((ROW(D94)-10)/30)+1=8,"Scanopy","") &amp; ".xls")</f>
        <v>☐ XLRhizo.xls</v>
      </c>
      <c r="E94" s="507" t="s">
        <v>309</v>
      </c>
      <c r="F94" s="508" t="s">
        <v>159</v>
      </c>
      <c r="G94" s="507" t="str">
        <f xml:space="preserve"> IF(N("If it is Cam, Do not Show XL")+AND(ROW(G94)&gt;=189,ROW(G94)&lt;=218),"","☐ XL Man")</f>
        <v>☐ XL Man</v>
      </c>
      <c r="H94" s="508" t="s">
        <v>290</v>
      </c>
      <c r="I94" s="395" t="s">
        <v>284</v>
      </c>
      <c r="J94" s="508" t="str">
        <f>IF(N("Si OR dessous = vrai, pas de box")+OR(
N("1 OR Tron ou CELL")+OR(AND(ROW(E94)&gt;=39,ROW(E94)&lt;=68),AND(ROW(E94)&gt;=99,ROW(E94)&lt;=128)),
N("2 Pas de système scanopy and range opy")+AND(ROW(E94)&gt;=219,ROW(E94)&lt;=248,SCANOPY_N_System&lt;2),
N("3 Avec LC")&amp;IF(ISERROR(LEFT(D93,SEARCH("00",D93)-3)),"",LEFT(D93,SEARCH("00",D93)-3))="LC"),"","☐ ")
&amp;
IF(N("If it's OPY, put OMount Manual instead")+
AND(ROW(D94)&gt;=219,ROW(D94)&lt;=248),
IF(SCANOPY_N_System&gt;1,
IF(SCANOPY_IndexScanner=1,"α" &amp; SCANOPY_CameraModel,SCANOPY_CameraModel_Mini) &amp; " Man",""),
IF(N("If it is Cell or Tron, Do not Show Scanner related items+No Video if LC")+OR(
AND(ROW(E94)&gt;=39,ROW(E94)&lt;=68),
AND(ROW(E94)&gt;=99,ROW(E94)&lt;=128)),
    "", IF(1=N("Si système a un scanner différent du Scanner populaire alors différent, sinon Scanner populaire")+AND(NOT(ISERROR(SEARCH("System",D93))),LEFT(D93,2)&lt;&gt;LEFT(PROD_MostPopularScanner,2)),
LEFT(D93,SEARCH("00",D93)-3),
PROD_MostPopularScanner) &amp; " Install Man"))</f>
        <v>☐ Scan. Install Man</v>
      </c>
      <c r="K94" s="507" t="str">
        <f>IF(N("If it is Cell or Tron or OPY, Do not Show Twain")+OR(AND(ROW(K94)&gt;=39,ROW(K94)&lt;=68),AND(ROW(K94)&gt;=99,ROW(K94)&lt;=128),AND(ROW(J94)&gt;=219,ROW(J94)&lt;=248)),"","☐ TWAIN")</f>
        <v>☐ TWAIN</v>
      </c>
      <c r="L94" s="508" t="str">
        <f>IF(N("Si OR dessous = vrai, pas de box")+OR(
N("1 OR Dendro+CELL, Tron+Folia,Cam")+OR(
AND(ROW(K94)&gt;=9,ROW(K94)&lt;=68),
AND(ROW(K94)&gt;=99,ROW(K94)&lt;=158),
AND(ROW(K94)&gt;=189,ROW(K94)&lt;=218)),
N("2 Pas de système scanopy and range opy")+AND(ROW(K94)&gt;=219,ROW(K94)&lt;=248,SCANOPY_N_System&lt;2),
N("3 Avec LC")&amp;IF(ISERROR(LEFT(J93,SEARCH("00",J93)-3)),"",LEFT(J93,SEARCH("00",J93)-3))="LC"),"","☐ ")
&amp;
IF(N("If it's OPY, put OMount Manual instead")+
AND(ROW(J94)&gt;=219,ROW(J94)&lt;=248),
IF(SCANOPY_N_System&gt;1,"OMount Man",""),
IF(N("If it is Dendro+CELL, Tron+Folia or Cam, Do not Show Scanner related items+No Video if LC")+OR(
AND(ROW(K94)&gt;=9,ROW(K94)&lt;=68),
AND(ROW(K94)&gt;=99,ROW(K94)&lt;=158),
AND(ROW(K94)&gt;=189,ROW(K94)&lt;=218),
IF(ISERROR(LEFT(J93,SEARCH("00",J93)-3)),"",LEFT(J93,SEARCH("00",J93)-3))="LC"),
    "", "Video " &amp; IF(1=N("Si système a un scanner différent du Scanner populaire alors différent, sinon Scanner populaire")+AND(NOT(ISERROR(SEARCH("System",J93))),LEFT(J93,2)&lt;&gt;LEFT(PROD_MostPopularScanner,2)),
LEFT(J93,SEARCH("00",J93)-3),
PROD_MostPopularScanner) &amp; " Install"))</f>
        <v>☐ Video Scan. Install</v>
      </c>
      <c r="M94" s="507" t="str">
        <f>IF(N("If it is Dendro or Tron, Do not Show Color Analysis Video")+
OR(AND(ROW(L94)&gt;=9,ROW(L94)&lt;=38),
AND(ROW(L94)&gt;=99,ROW(L94)&lt;=128)), "","☐ Video ClrAna")</f>
        <v>☐ Video ClrAna</v>
      </c>
      <c r="N94" s="508" t="str">
        <f>IF(OR(INT((ROW(D94)-10)/30)+1=2,INT((ROW(D94)-10)/30)+1=4),"","☐ ")&amp;
IF(INT((ROW(D94)-10)/30)+1=1,"Scanner.cal","")&amp;
IF(INT((ROW(D94)-10)/30)+1=2,"","")&amp;
IF(INT((ROW(D94)-10)/30)+1=3,"Scanner.cal","")&amp;
IF(INT((ROW(D94)-10)/30)+1=4,"","")&amp;
IF(INT((ROW(D94)-10)/30)+1=5,"Scanner.cal","")&amp;
IF(INT((ROW(D94)-10)/30)+1=6,"Scanner.cal","")&amp;
IF(INT((ROW(D94)-10)/30)+1=7,"Scanner.cal","")&amp;
IF(INT((ROW(D94)-10)/30)+1=8,IF(SCANOPY_Camera, "Indiv", "Gen")&amp; " Lens.cal","")</f>
        <v>☐ Scanner.cal</v>
      </c>
      <c r="O94" s="395" t="str">
        <f>IF(AND(ROW(L94)&gt;=9,ROW(L94)&lt;=38),"☐ RegentTarget.blu","")</f>
        <v/>
      </c>
      <c r="P94" s="302"/>
      <c r="Q94" s="302"/>
    </row>
    <row r="95" spans="1:17" ht="24" customHeight="1" x14ac:dyDescent="0.2">
      <c r="A95" s="562" t="s">
        <v>269</v>
      </c>
      <c r="B95" s="311" t="s">
        <v>269</v>
      </c>
      <c r="C95" s="395" t="s">
        <v>159</v>
      </c>
      <c r="D95" s="395" t="str">
        <f xml:space="preserve"> IF(N("If it is Cam, Do not Show XL")+AND(ROW(D95)&gt;=189,ROW(D95)&lt;=218),"","☐ XL Man")</f>
        <v>☐ XL Man</v>
      </c>
      <c r="E95" s="570" t="str">
        <f>IF(N("Si OR dessous = vrai, pas de box")+OR(
N("1 OR Tron ou CELL")+OR(AND(ROW(K94)&gt;=39,ROW(K94)&lt;=68),AND(ROW(K94)&gt;=99,ROW(K94)&lt;=128)),
N("2 Pas de système scanopy and range opy")+AND(ROW(K94)&gt;=219,ROW(K94)&lt;=248,SCANOPY_N_System&lt;2),
N("3 Avec LC")&amp;IF(ISERROR(LEFT(J93,SEARCH("00",J93)-3)),"",LEFT(J93,SEARCH("00",J93)-3))="LC"),"","☐ ")
&amp;
IF(N("If it's OPY, put OMount Manual instead")+
AND(ROW(J94)&gt;=219,ROW(J94)&lt;=248),
IF(SCANOPY_N_System&gt;1,"OMount Man",""),
IF(N("If it is Cell or Tron, Do not Show Scanner related items")+OR(
AND(ROW(K94)&gt;=39,ROW(K94)&lt;=68),
AND(ROW(K94)&gt;=99,ROW(K94)&lt;=128)),
    "", IF(1=N("Si système a un scanner différent du Scanner populaire alors différent, sinon Scanner populaire")+AND(NOT(ISERROR(SEARCH("System",J93))),LEFT(J93,2)&lt;&gt;LEFT(PROD_MostPopularScanner,2)),
LEFT(J93,SEARCH("00",J93)-3),
PROD_MostPopularScanner) &amp; " Install Man"))</f>
        <v>☐ Scan. Install Man</v>
      </c>
      <c r="F95" s="509" t="s">
        <v>285</v>
      </c>
      <c r="G95" s="395" t="s">
        <v>284</v>
      </c>
      <c r="H95" s="572" t="s">
        <v>260</v>
      </c>
      <c r="I95" s="510"/>
      <c r="J95" s="395" t="s">
        <v>160</v>
      </c>
      <c r="K95" s="353"/>
      <c r="L95" s="572" t="s">
        <v>734</v>
      </c>
      <c r="M95" s="395"/>
      <c r="N95" s="509"/>
      <c r="O95" s="395"/>
      <c r="P95" s="302"/>
      <c r="Q95" s="302"/>
    </row>
    <row r="96" spans="1:17" ht="16.25" customHeight="1" x14ac:dyDescent="0.2">
      <c r="A96" s="550"/>
      <c r="B96" s="380"/>
      <c r="C96" s="828" t="str">
        <f>IF((RHIZO_N_UpgradeUpdate + RHIZO_N_Software ) = 2,"",LEFT(INDEX(RHIZO_SoftwareFullNames,RHIZO_IndexSoftware),FIND(" ",INDEX(RHIZO_SoftwareFullNames,RHIZO_IndexSoftware),FIND(" ",INDEX(RHIZO_SoftwareFullNames,RHIZO_IndexSoftware))+1)) &amp;
RHIZO_YearMostRecent )</f>
        <v/>
      </c>
      <c r="D96" s="828"/>
      <c r="E96" s="388"/>
      <c r="F96" s="388"/>
      <c r="G96" s="359" t="str">
        <f>IF(RHIZO_OptionXL*(RHIZO_N_Software+RHIZO_N_UpgradeUpdate-2)&gt;=((ROW(G96)-ROW($G$69))/4+1),"XLRHIZO "&amp; RHIZO_YearMostRecent,"")</f>
        <v/>
      </c>
      <c r="H96" s="335"/>
      <c r="I96" s="335"/>
      <c r="J96" s="359" t="str">
        <f>IF(RHIZO_N_System-1&gt;=((ROW(G96)-ROW($G$69))/4+1),IF(RHIZO_IndexScanner=1,"STD4800","LA2400") &amp; " System"&amp; IF(AND(RHIZO_ClientWithOrWithoutScanner=2,RHIZO_N_System&gt;1)," Sans Scanner"," Avec Scanner"),
IF(AND(RHIZO_N_Software&gt;RHIZO_N_System,RHIZO_N_Software-1&gt;((ROW(G96)-ROW($G$69))/4+1)),IF(N_SystemTotal=0,"Software Only",IF(N_STDScanners+N_LAScanners+N_LCScanners=0,"Software Sans Scanner","Software Avec Scanner")),
IF(RHIZO_N_UpgradeUpdate-1&gt;=((ROW(G96)-ROW($G$69))/4+1)-(MAX(RHIZO_N_System,RHIZO_N_Software)-1),"Update","")))</f>
        <v/>
      </c>
      <c r="K96" s="335"/>
      <c r="L96" s="334"/>
      <c r="M96" s="334"/>
      <c r="N96" s="334"/>
      <c r="O96" s="302"/>
      <c r="P96" s="302"/>
      <c r="Q96" s="302"/>
    </row>
    <row r="97" spans="1:17" ht="24" customHeight="1" x14ac:dyDescent="0.2">
      <c r="A97" s="562" t="s">
        <v>268</v>
      </c>
      <c r="B97" s="375" t="s">
        <v>268</v>
      </c>
      <c r="C97" s="507" t="str">
        <f>"☐☐ Win" &amp;
IF(INT((ROW(D97)-10)/30)+1=1,"DEN","")&amp;
IF(INT((ROW(D97)-10)/30)+1=2,"CEL","")&amp;
IF(INT((ROW(D97)-10)/30)+1=3,"RHI","")&amp;
IF(INT((ROW(D97)-10)/30)+1=4,"RT","")&amp;
IF(INT((ROW(D97)-10)/30)+1=5,"FOL","")&amp;
IF(INT((ROW(D97)-10)/30)+1=6,"SEE","")&amp;
IF(INT((ROW(D97)-10)/30)+1=7,"CAM","")&amp;
IF(INT((ROW(D97)-10)/30)+1=8,"SCA","") &amp; ".exe"</f>
        <v>☐☐ WinRHI.exe</v>
      </c>
      <c r="D97" s="507" t="str">
        <f xml:space="preserve"> IF(N("If it is Cam, Do not Show XL")+AND(ROW(D97)&gt;=189,ROW(D97)&lt;=218),"","☐ XL" &amp;
IF(INT((ROW(D97)-10)/30)+1=1,"STEM","")&amp;
IF(INT((ROW(D97)-10)/30)+1=2,"Cell","")&amp;
IF(INT((ROW(D97)-10)/30)+1=3,"Rhizo","")&amp;
IF(INT((ROW(D97)-10)/30)+1=4,"RhizoT","")&amp;
IF(INT((ROW(D97)-10)/30)+1=5,"Folia","")&amp;
IF(INT((ROW(D97)-10)/30)+1=6,"Seedle","")&amp;
IF(INT((ROW(D97)-10)/30)+1=7,"Cam","")&amp;
IF(INT((ROW(D97)-10)/30)+1=8,"Scanopy","") &amp; ".xls")</f>
        <v>☐ XLRhizo.xls</v>
      </c>
      <c r="E97" s="507" t="s">
        <v>309</v>
      </c>
      <c r="F97" s="508" t="s">
        <v>159</v>
      </c>
      <c r="G97" s="507" t="str">
        <f xml:space="preserve"> IF(N("If it is Cam, Do not Show XL")+AND(ROW(G97)&gt;=189,ROW(G97)&lt;=218),"","☐ XL Man")</f>
        <v>☐ XL Man</v>
      </c>
      <c r="H97" s="508" t="s">
        <v>290</v>
      </c>
      <c r="I97" s="395" t="s">
        <v>284</v>
      </c>
      <c r="J97" s="508" t="str">
        <f>IF(N("Si OR dessous = vrai, pas de box")+OR(
N("1 OR Tron ou CELL")+OR(AND(ROW(E97)&gt;=39,ROW(E97)&lt;=68),AND(ROW(E97)&gt;=99,ROW(E97)&lt;=128)),
N("2 Pas de système scanopy and range opy")+AND(ROW(E97)&gt;=219,ROW(E97)&lt;=248,SCANOPY_N_System&lt;2),
N("3 Avec LC")&amp;IF(ISERROR(LEFT(D96,SEARCH("00",D96)-3)),"",LEFT(D96,SEARCH("00",D96)-3))="LC"),"","☐ ")
&amp;
IF(N("If it's OPY, put OMount Manual instead")+
AND(ROW(D97)&gt;=219,ROW(D97)&lt;=248),
IF(SCANOPY_N_System&gt;1,
IF(SCANOPY_IndexScanner=1,"α" &amp; SCANOPY_CameraModel,SCANOPY_CameraModel_Mini) &amp; " Man",""),
IF(N("If it is Cell or Tron, Do not Show Scanner related items+No Video if LC")+OR(
AND(ROW(E97)&gt;=39,ROW(E97)&lt;=68),
AND(ROW(E97)&gt;=99,ROW(E97)&lt;=128)),
    "", IF(1=N("Si système a un scanner différent du Scanner populaire alors différent, sinon Scanner populaire")+AND(NOT(ISERROR(SEARCH("System",D96))),LEFT(D96,2)&lt;&gt;LEFT(PROD_MostPopularScanner,2)),
LEFT(D96,SEARCH("00",D96)-3),
PROD_MostPopularScanner) &amp; " Install Man"))</f>
        <v>☐ Scan. Install Man</v>
      </c>
      <c r="K97" s="507" t="str">
        <f>IF(N("If it is Cell or Tron or OPY, Do not Show Twain")+OR(AND(ROW(K97)&gt;=39,ROW(K97)&lt;=68),AND(ROW(K97)&gt;=99,ROW(K97)&lt;=128),AND(ROW(J97)&gt;=219,ROW(J97)&lt;=248)),"","☐ TWAIN")</f>
        <v>☐ TWAIN</v>
      </c>
      <c r="L97" s="508" t="str">
        <f>IF(N("Si OR dessous = vrai, pas de box")+OR(
N("1 OR Dendro+CELL, Tron+Folia,Cam")+OR(
AND(ROW(K97)&gt;=9,ROW(K97)&lt;=68),
AND(ROW(K97)&gt;=99,ROW(K97)&lt;=158),
AND(ROW(K97)&gt;=189,ROW(K97)&lt;=218)),
N("2 Pas de système scanopy and range opy")+AND(ROW(K97)&gt;=219,ROW(K97)&lt;=248,SCANOPY_N_System&lt;2),
N("3 Avec LC")&amp;IF(ISERROR(LEFT(J96,SEARCH("00",J96)-3)),"",LEFT(J96,SEARCH("00",J96)-3))="LC"),"","☐ ")
&amp;
IF(N("If it's OPY, put OMount Manual instead")+
AND(ROW(J97)&gt;=219,ROW(J97)&lt;=248),
IF(SCANOPY_N_System&gt;1,"OMount Man",""),
IF(N("If it is Dendro+CELL, Tron+Folia or Cam, Do not Show Scanner related items+No Video if LC")+OR(
AND(ROW(K97)&gt;=9,ROW(K97)&lt;=68),
AND(ROW(K97)&gt;=99,ROW(K97)&lt;=158),
AND(ROW(K97)&gt;=189,ROW(K97)&lt;=218),
IF(ISERROR(LEFT(J96,SEARCH("00",J96)-3)),"",LEFT(J96,SEARCH("00",J96)-3))="LC"),
    "", "Video " &amp; IF(1=N("Si système a un scanner différent du Scanner populaire alors différent, sinon Scanner populaire")+AND(NOT(ISERROR(SEARCH("System",J96))),LEFT(J96,2)&lt;&gt;LEFT(PROD_MostPopularScanner,2)),
LEFT(J96,SEARCH("00",J96)-3),
PROD_MostPopularScanner) &amp; " Install"))</f>
        <v>☐ Video Scan. Install</v>
      </c>
      <c r="M97" s="507" t="str">
        <f>IF(N("If it is Dendro or Tron, Do not Show Color Analysis Video")+
OR(AND(ROW(L97)&gt;=9,ROW(L97)&lt;=38),
AND(ROW(L97)&gt;=99,ROW(L97)&lt;=128)), "","☐ Video ClrAna")</f>
        <v>☐ Video ClrAna</v>
      </c>
      <c r="N97" s="508" t="str">
        <f>IF(OR(INT((ROW(D97)-10)/30)+1=2,INT((ROW(D97)-10)/30)+1=4),"","☐ ")&amp;
IF(INT((ROW(D97)-10)/30)+1=1,"Scanner.cal","")&amp;
IF(INT((ROW(D97)-10)/30)+1=2,"","")&amp;
IF(INT((ROW(D97)-10)/30)+1=3,"Scanner.cal","")&amp;
IF(INT((ROW(D97)-10)/30)+1=4,"","")&amp;
IF(INT((ROW(D97)-10)/30)+1=5,"Scanner.cal","")&amp;
IF(INT((ROW(D97)-10)/30)+1=6,"Scanner.cal","")&amp;
IF(INT((ROW(D97)-10)/30)+1=7,"Scanner.cal","")&amp;
IF(INT((ROW(D97)-10)/30)+1=8,IF(SCANOPY_Camera, "Indiv", "Gen")&amp; " Lens.cal","")</f>
        <v>☐ Scanner.cal</v>
      </c>
      <c r="O97" s="395" t="str">
        <f>IF(AND(ROW(L97)&gt;=9,ROW(L97)&lt;=38),"☐ RegentTarget.blu","")</f>
        <v/>
      </c>
      <c r="P97" s="302"/>
      <c r="Q97" s="302"/>
    </row>
    <row r="98" spans="1:17" ht="24" customHeight="1" x14ac:dyDescent="0.2">
      <c r="A98" s="562" t="s">
        <v>269</v>
      </c>
      <c r="B98" s="311" t="s">
        <v>269</v>
      </c>
      <c r="C98" s="395" t="s">
        <v>159</v>
      </c>
      <c r="D98" s="395" t="str">
        <f xml:space="preserve"> IF(N("If it is Cam, Do not Show XL")+AND(ROW(D98)&gt;=189,ROW(D98)&lt;=218),"","☐ XL Man")</f>
        <v>☐ XL Man</v>
      </c>
      <c r="E98" s="570" t="str">
        <f>IF(N("Si OR dessous = vrai, pas de box")+OR(
N("1 OR Tron ou CELL")+OR(AND(ROW(K97)&gt;=39,ROW(K97)&lt;=68),AND(ROW(K97)&gt;=99,ROW(K97)&lt;=128)),
N("2 Pas de système scanopy and range opy")+AND(ROW(K97)&gt;=219,ROW(K97)&lt;=248,SCANOPY_N_System&lt;2),
N("3 Avec LC")&amp;IF(ISERROR(LEFT(J96,SEARCH("00",J96)-3)),"",LEFT(J96,SEARCH("00",J96)-3))="LC"),"","☐ ")
&amp;
IF(N("If it's OPY, put OMount Manual instead")+
AND(ROW(J97)&gt;=219,ROW(J97)&lt;=248),
IF(SCANOPY_N_System&gt;1,"OMount Man",""),
IF(N("If it is Cell or Tron, Do not Show Scanner related items")+OR(
AND(ROW(K97)&gt;=39,ROW(K97)&lt;=68),
AND(ROW(K97)&gt;=99,ROW(K97)&lt;=128)),
    "", IF(1=N("Si système a un scanner différent du Scanner populaire alors différent, sinon Scanner populaire")+AND(NOT(ISERROR(SEARCH("System",J96))),LEFT(J96,2)&lt;&gt;LEFT(PROD_MostPopularScanner,2)),
LEFT(J96,SEARCH("00",J96)-3),
PROD_MostPopularScanner) &amp; " Install Man"))</f>
        <v>☐ Scan. Install Man</v>
      </c>
      <c r="F98" s="509" t="s">
        <v>285</v>
      </c>
      <c r="G98" s="395" t="s">
        <v>284</v>
      </c>
      <c r="H98" s="572" t="s">
        <v>260</v>
      </c>
      <c r="I98" s="510"/>
      <c r="J98" s="395" t="s">
        <v>160</v>
      </c>
      <c r="K98" s="353"/>
      <c r="L98" s="572" t="s">
        <v>734</v>
      </c>
      <c r="M98" s="395"/>
      <c r="N98" s="509"/>
      <c r="O98" s="395"/>
      <c r="P98" s="302"/>
      <c r="Q98" s="302"/>
    </row>
    <row r="99" spans="1:17" ht="16.25" customHeight="1" x14ac:dyDescent="0.2">
      <c r="A99" s="551"/>
      <c r="B99" s="381"/>
      <c r="C99"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99" s="841"/>
      <c r="E99" s="389"/>
      <c r="F99" s="389"/>
      <c r="G99" s="360" t="str">
        <f>IF(RHIZOTRON_OptionXL*(RHIZOTRON_N_Software+RHIZOTRON_N_UpgradeUpdate-2)&gt;=((ROW(G99)-ROW($G$99))/4+1),"XLRHIZOTRON "&amp; RHIZOTRON_YearMostRecent,"")</f>
        <v/>
      </c>
      <c r="H99" s="343"/>
      <c r="I99" s="343"/>
      <c r="J99" s="360" t="str">
        <f>IF(RHIZOTRON_N_Software-1&gt;((ROW(G99)-ROW($G$99))/4+1),IF(N_SystemTotal=0,"Software Only",IF(N_STDScanners+N_LAScanners+N_LCScanners=0,"Software Sans Scanner","Software Avec Scanner")),
IF(RHIZOTRON_N_UpgradeUpdate-1&gt;=((ROW(G99)-ROW($G$99))/4+1)-(RHIZOTRON_N_Software-1),"Update",""))</f>
        <v/>
      </c>
      <c r="K99" s="343"/>
      <c r="L99" s="342"/>
      <c r="M99" s="342"/>
      <c r="N99" s="342"/>
      <c r="O99" s="302"/>
      <c r="P99" s="302"/>
      <c r="Q99" s="302"/>
    </row>
    <row r="100" spans="1:17" ht="24" customHeight="1" x14ac:dyDescent="0.2">
      <c r="A100" s="563" t="s">
        <v>268</v>
      </c>
      <c r="B100" s="375" t="s">
        <v>268</v>
      </c>
      <c r="C100" s="507" t="str">
        <f>"☐☐ Win" &amp;
IF(INT((ROW(D100)-10)/30)+1=1,"DEN","")&amp;
IF(INT((ROW(D100)-10)/30)+1=2,"CEL","")&amp;
IF(INT((ROW(D100)-10)/30)+1=3,"RHI","")&amp;
IF(INT((ROW(D100)-10)/30)+1=4,"RT","")&amp;
IF(INT((ROW(D100)-10)/30)+1=5,"FOL","")&amp;
IF(INT((ROW(D100)-10)/30)+1=6,"SEE","")&amp;
IF(INT((ROW(D100)-10)/30)+1=7,"CAM","")&amp;
IF(INT((ROW(D100)-10)/30)+1=8,"SCA","") &amp; ".exe"</f>
        <v>☐☐ WinRT.exe</v>
      </c>
      <c r="D100" s="507" t="str">
        <f xml:space="preserve"> IF(N("If it is Cam, Do not Show XL")+AND(ROW(D100)&gt;=189,ROW(D100)&lt;=218),"","☐ XL" &amp;
IF(INT((ROW(D100)-10)/30)+1=1,"STEM","")&amp;
IF(INT((ROW(D100)-10)/30)+1=2,"Cell","")&amp;
IF(INT((ROW(D100)-10)/30)+1=3,"Rhizo","")&amp;
IF(INT((ROW(D100)-10)/30)+1=4,"RhizoT","")&amp;
IF(INT((ROW(D100)-10)/30)+1=5,"Folia","")&amp;
IF(INT((ROW(D100)-10)/30)+1=6,"Seedle","")&amp;
IF(INT((ROW(D100)-10)/30)+1=7,"Cam","")&amp;
IF(INT((ROW(D100)-10)/30)+1=8,"Scanopy","") &amp; ".xls")</f>
        <v>☐ XLRhizoT.xls</v>
      </c>
      <c r="E100" s="507" t="s">
        <v>309</v>
      </c>
      <c r="F100" s="508" t="s">
        <v>159</v>
      </c>
      <c r="G100" s="507" t="str">
        <f xml:space="preserve"> IF(N("If it is Cam, Do not Show XL")+AND(ROW(G100)&gt;=189,ROW(G100)&lt;=218),"","☐ XL Man")</f>
        <v>☐ XL Man</v>
      </c>
      <c r="H100" s="508" t="s">
        <v>290</v>
      </c>
      <c r="I100" s="395" t="s">
        <v>284</v>
      </c>
      <c r="J100" s="508" t="str">
        <f>IF(N("Si OR dessous = vrai, pas de box")+OR(
N("1 OR Tron ou CELL")+OR(AND(ROW(E100)&gt;=39,ROW(E100)&lt;=68),AND(ROW(E100)&gt;=99,ROW(E100)&lt;=128)),
N("2 Pas de système scanopy and range opy")+AND(ROW(E100)&gt;=219,ROW(E100)&lt;=248,SCANOPY_N_System&lt;2),
N("3 Avec LC")&amp;IF(ISERROR(LEFT(D99,SEARCH("00",D99)-3)),"",LEFT(D99,SEARCH("00",D99)-3))="LC"),"","☐ ")
&amp;
IF(N("If it's OPY, put OMount Manual instead")+
AND(ROW(D100)&gt;=219,ROW(D100)&lt;=248),
IF(SCANOPY_N_System&gt;1,
IF(SCANOPY_IndexScanner=1,"α" &amp; SCANOPY_CameraModel,SCANOPY_CameraModel_Mini) &amp; " Man",""),
IF(N("If it is Cell or Tron, Do not Show Scanner related items+No Video if LC")+OR(
AND(ROW(E100)&gt;=39,ROW(E100)&lt;=68),
AND(ROW(E100)&gt;=99,ROW(E100)&lt;=128)),
    "", IF(1=N("Si système a un scanner différent du Scanner populaire alors différent, sinon Scanner populaire")+AND(NOT(ISERROR(SEARCH("System",D99))),LEFT(D99,2)&lt;&gt;LEFT(PROD_MostPopularScanner,2)),
LEFT(D99,SEARCH("00",D99)-3),
PROD_MostPopularScanner) &amp; " Install Man"))</f>
        <v/>
      </c>
      <c r="K100" s="507" t="str">
        <f>IF(N("If it is Cell or Tron or OPY, Do not Show Twain")+OR(AND(ROW(K100)&gt;=39,ROW(K100)&lt;=68),AND(ROW(K100)&gt;=99,ROW(K100)&lt;=128),AND(ROW(J100)&gt;=219,ROW(J100)&lt;=248)),"","☐ TWAIN")</f>
        <v/>
      </c>
      <c r="L100" s="508" t="str">
        <f>IF(N("Si OR dessous = vrai, pas de box")+OR(
N("1 OR Dendro+CELL, Tron+Folia,Cam")+OR(
AND(ROW(K100)&gt;=9,ROW(K100)&lt;=68),
AND(ROW(K100)&gt;=99,ROW(K100)&lt;=158),
AND(ROW(K100)&gt;=189,ROW(K100)&lt;=218)),
N("2 Pas de système scanopy and range opy")+AND(ROW(K100)&gt;=219,ROW(K100)&lt;=248,SCANOPY_N_System&lt;2),
N("3 Avec LC")&amp;IF(ISERROR(LEFT(J99,SEARCH("00",J99)-3)),"",LEFT(J99,SEARCH("00",J99)-3))="LC"),"","☐ ")
&amp;
IF(N("If it's OPY, put OMount Manual instead")+
AND(ROW(J100)&gt;=219,ROW(J100)&lt;=248),
IF(SCANOPY_N_System&gt;1,"OMount Man",""),
IF(N("If it is Dendro+CELL, Tron+Folia or Cam, Do not Show Scanner related items+No Video if LC")+OR(
AND(ROW(K100)&gt;=9,ROW(K100)&lt;=68),
AND(ROW(K100)&gt;=99,ROW(K100)&lt;=158),
AND(ROW(K100)&gt;=189,ROW(K100)&lt;=218),
IF(ISERROR(LEFT(J99,SEARCH("00",J99)-3)),"",LEFT(J99,SEARCH("00",J99)-3))="LC"),
    "", "Video " &amp; IF(1=N("Si système a un scanner différent du Scanner populaire alors différent, sinon Scanner populaire")+AND(NOT(ISERROR(SEARCH("System",J99))),LEFT(J99,2)&lt;&gt;LEFT(PROD_MostPopularScanner,2)),
LEFT(J99,SEARCH("00",J99)-3),
PROD_MostPopularScanner) &amp; " Install"))</f>
        <v/>
      </c>
      <c r="M100" s="507" t="str">
        <f>IF(N("If it is Dendro or Tron, Do not Show Color Analysis Video")+
OR(AND(ROW(L100)&gt;=9,ROW(L100)&lt;=38),
AND(ROW(L100)&gt;=99,ROW(L100)&lt;=128)), "","☐ Video ClrAna")</f>
        <v/>
      </c>
      <c r="N100" s="508" t="str">
        <f>IF(OR(INT((ROW(D100)-10)/30)+1=2,INT((ROW(D100)-10)/30)+1=4),"","☐ ")&amp;
IF(INT((ROW(D100)-10)/30)+1=1,"Scanner.cal","")&amp;
IF(INT((ROW(D100)-10)/30)+1=2,"","")&amp;
IF(INT((ROW(D100)-10)/30)+1=3,"Scanner.cal","")&amp;
IF(INT((ROW(D100)-10)/30)+1=4,"","")&amp;
IF(INT((ROW(D100)-10)/30)+1=5,"Scanner.cal","")&amp;
IF(INT((ROW(D100)-10)/30)+1=6,"Scanner.cal","")&amp;
IF(INT((ROW(D100)-10)/30)+1=7,"Scanner.cal","")&amp;
IF(INT((ROW(D100)-10)/30)+1=8,IF(SCANOPY_Camera, "Indiv", "Gen")&amp; " Lens.cal","")</f>
        <v/>
      </c>
      <c r="O100" s="395" t="str">
        <f>IF(AND(ROW(L100)&gt;=9,ROW(L100)&lt;=38),"☐ RegentTarget.blu","")</f>
        <v/>
      </c>
      <c r="P100" s="302"/>
      <c r="Q100" s="302"/>
    </row>
    <row r="101" spans="1:17" ht="24" customHeight="1" x14ac:dyDescent="0.2">
      <c r="A101" s="563" t="s">
        <v>269</v>
      </c>
      <c r="B101" s="311" t="s">
        <v>269</v>
      </c>
      <c r="C101" s="395" t="s">
        <v>159</v>
      </c>
      <c r="D101" s="395" t="str">
        <f xml:space="preserve"> IF(N("If it is Cam, Do not Show XL")+AND(ROW(D101)&gt;=189,ROW(D101)&lt;=218),"","☐ XL Man")</f>
        <v>☐ XL Man</v>
      </c>
      <c r="E101" s="570" t="str">
        <f>IF(N("Si OR dessous = vrai, pas de box")+OR(
N("1 OR Tron ou CELL")+OR(AND(ROW(K100)&gt;=39,ROW(K100)&lt;=68),AND(ROW(K100)&gt;=99,ROW(K100)&lt;=128)),
N("2 Pas de système scanopy and range opy")+AND(ROW(K100)&gt;=219,ROW(K100)&lt;=248,SCANOPY_N_System&lt;2),
N("3 Avec LC")&amp;IF(ISERROR(LEFT(J99,SEARCH("00",J99)-3)),"",LEFT(J99,SEARCH("00",J99)-3))="LC"),"","☐ ")
&amp;
IF(N("If it's OPY, put OMount Manual instead")+
AND(ROW(J100)&gt;=219,ROW(J100)&lt;=248),
IF(SCANOPY_N_System&gt;1,"OMount Man",""),
IF(N("If it is Cell or Tron, Do not Show Scanner related items")+OR(
AND(ROW(K100)&gt;=39,ROW(K100)&lt;=68),
AND(ROW(K100)&gt;=99,ROW(K100)&lt;=128)),
    "", IF(1=N("Si système a un scanner différent du Scanner populaire alors différent, sinon Scanner populaire")+AND(NOT(ISERROR(SEARCH("System",J99))),LEFT(J99,2)&lt;&gt;LEFT(PROD_MostPopularScanner,2)),
LEFT(J99,SEARCH("00",J99)-3),
PROD_MostPopularScanner) &amp; " Install Man"))</f>
        <v/>
      </c>
      <c r="F101" s="509" t="s">
        <v>285</v>
      </c>
      <c r="G101" s="395" t="s">
        <v>284</v>
      </c>
      <c r="H101" s="572" t="s">
        <v>260</v>
      </c>
      <c r="I101" s="510"/>
      <c r="J101" s="395" t="s">
        <v>160</v>
      </c>
      <c r="K101" s="353"/>
      <c r="L101" s="572" t="s">
        <v>734</v>
      </c>
      <c r="M101" s="395"/>
      <c r="N101" s="509"/>
      <c r="O101" s="395"/>
      <c r="P101" s="302"/>
      <c r="Q101" s="302"/>
    </row>
    <row r="102" spans="1:17" ht="16.25" customHeight="1" x14ac:dyDescent="0.2">
      <c r="A102" s="551"/>
      <c r="B102" s="381"/>
      <c r="C102"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2" s="841"/>
      <c r="E102" s="389"/>
      <c r="F102" s="389"/>
      <c r="G102" s="360" t="str">
        <f>IF(RHIZOTRON_OptionXL*(RHIZOTRON_N_Software+RHIZOTRON_N_UpgradeUpdate-2)&gt;=((ROW(G102)-ROW($G$99))/4+1),"XLRHIZOTRON "&amp; RHIZOTRON_YearMostRecent,"")</f>
        <v/>
      </c>
      <c r="H102" s="343"/>
      <c r="I102" s="343"/>
      <c r="J102" s="360" t="str">
        <f>IF(RHIZOTRON_N_Software-1&gt;((ROW(G102)-ROW($G$99))/4+1),IF(N_SystemTotal=0,"Software Only",IF(N_STDScanners+N_LAScanners+N_LCScanners=0,"Software Sans Scanner","Software Avec Scanner")),
IF(RHIZOTRON_N_UpgradeUpdate-1&gt;=((ROW(G102)-ROW($G$99))/4+1)-(RHIZOTRON_N_Software-1),"Update",""))</f>
        <v/>
      </c>
      <c r="K102" s="343"/>
      <c r="L102" s="342"/>
      <c r="M102" s="342"/>
      <c r="N102" s="342"/>
      <c r="O102" s="302"/>
      <c r="P102" s="302"/>
      <c r="Q102" s="302"/>
    </row>
    <row r="103" spans="1:17" ht="24" customHeight="1" x14ac:dyDescent="0.2">
      <c r="A103" s="563" t="s">
        <v>268</v>
      </c>
      <c r="B103" s="375" t="s">
        <v>268</v>
      </c>
      <c r="C103" s="507" t="str">
        <f>"☐☐ Win" &amp;
IF(INT((ROW(D103)-10)/30)+1=1,"DEN","")&amp;
IF(INT((ROW(D103)-10)/30)+1=2,"CEL","")&amp;
IF(INT((ROW(D103)-10)/30)+1=3,"RHI","")&amp;
IF(INT((ROW(D103)-10)/30)+1=4,"RT","")&amp;
IF(INT((ROW(D103)-10)/30)+1=5,"FOL","")&amp;
IF(INT((ROW(D103)-10)/30)+1=6,"SEE","")&amp;
IF(INT((ROW(D103)-10)/30)+1=7,"CAM","")&amp;
IF(INT((ROW(D103)-10)/30)+1=8,"SCA","") &amp; ".exe"</f>
        <v>☐☐ WinRT.exe</v>
      </c>
      <c r="D103" s="507" t="str">
        <f xml:space="preserve"> IF(N("If it is Cam, Do not Show XL")+AND(ROW(D103)&gt;=189,ROW(D103)&lt;=218),"","☐ XL" &amp;
IF(INT((ROW(D103)-10)/30)+1=1,"STEM","")&amp;
IF(INT((ROW(D103)-10)/30)+1=2,"Cell","")&amp;
IF(INT((ROW(D103)-10)/30)+1=3,"Rhizo","")&amp;
IF(INT((ROW(D103)-10)/30)+1=4,"RhizoT","")&amp;
IF(INT((ROW(D103)-10)/30)+1=5,"Folia","")&amp;
IF(INT((ROW(D103)-10)/30)+1=6,"Seedle","")&amp;
IF(INT((ROW(D103)-10)/30)+1=7,"Cam","")&amp;
IF(INT((ROW(D103)-10)/30)+1=8,"Scanopy","") &amp; ".xls")</f>
        <v>☐ XLRhizoT.xls</v>
      </c>
      <c r="E103" s="507" t="s">
        <v>309</v>
      </c>
      <c r="F103" s="508" t="s">
        <v>159</v>
      </c>
      <c r="G103" s="507" t="str">
        <f xml:space="preserve"> IF(N("If it is Cam, Do not Show XL")+AND(ROW(G103)&gt;=189,ROW(G103)&lt;=218),"","☐ XL Man")</f>
        <v>☐ XL Man</v>
      </c>
      <c r="H103" s="508" t="s">
        <v>290</v>
      </c>
      <c r="I103" s="395" t="s">
        <v>284</v>
      </c>
      <c r="J103" s="508" t="str">
        <f>IF(N("Si OR dessous = vrai, pas de box")+OR(
N("1 OR Tron ou CELL")+OR(AND(ROW(E103)&gt;=39,ROW(E103)&lt;=68),AND(ROW(E103)&gt;=99,ROW(E103)&lt;=128)),
N("2 Pas de système scanopy and range opy")+AND(ROW(E103)&gt;=219,ROW(E103)&lt;=248,SCANOPY_N_System&lt;2),
N("3 Avec LC")&amp;IF(ISERROR(LEFT(D102,SEARCH("00",D102)-3)),"",LEFT(D102,SEARCH("00",D102)-3))="LC"),"","☐ ")
&amp;
IF(N("If it's OPY, put OMount Manual instead")+
AND(ROW(D103)&gt;=219,ROW(D103)&lt;=248),
IF(SCANOPY_N_System&gt;1,
IF(SCANOPY_IndexScanner=1,"α" &amp; SCANOPY_CameraModel,SCANOPY_CameraModel_Mini) &amp; " Man",""),
IF(N("If it is Cell or Tron, Do not Show Scanner related items+No Video if LC")+OR(
AND(ROW(E103)&gt;=39,ROW(E103)&lt;=68),
AND(ROW(E103)&gt;=99,ROW(E103)&lt;=128)),
    "", IF(1=N("Si système a un scanner différent du Scanner populaire alors différent, sinon Scanner populaire")+AND(NOT(ISERROR(SEARCH("System",D102))),LEFT(D102,2)&lt;&gt;LEFT(PROD_MostPopularScanner,2)),
LEFT(D102,SEARCH("00",D102)-3),
PROD_MostPopularScanner) &amp; " Install Man"))</f>
        <v/>
      </c>
      <c r="K103" s="507" t="str">
        <f>IF(N("If it is Cell or Tron or OPY, Do not Show Twain")+OR(AND(ROW(K103)&gt;=39,ROW(K103)&lt;=68),AND(ROW(K103)&gt;=99,ROW(K103)&lt;=128),AND(ROW(J103)&gt;=219,ROW(J103)&lt;=248)),"","☐ TWAIN")</f>
        <v/>
      </c>
      <c r="L103" s="508" t="str">
        <f>IF(N("Si OR dessous = vrai, pas de box")+OR(
N("1 OR Dendro+CELL, Tron+Folia,Cam")+OR(
AND(ROW(K103)&gt;=9,ROW(K103)&lt;=68),
AND(ROW(K103)&gt;=99,ROW(K103)&lt;=158),
AND(ROW(K103)&gt;=189,ROW(K103)&lt;=218)),
N("2 Pas de système scanopy and range opy")+AND(ROW(K103)&gt;=219,ROW(K103)&lt;=248,SCANOPY_N_System&lt;2),
N("3 Avec LC")&amp;IF(ISERROR(LEFT(J102,SEARCH("00",J102)-3)),"",LEFT(J102,SEARCH("00",J102)-3))="LC"),"","☐ ")
&amp;
IF(N("If it's OPY, put OMount Manual instead")+
AND(ROW(J103)&gt;=219,ROW(J103)&lt;=248),
IF(SCANOPY_N_System&gt;1,"OMount Man",""),
IF(N("If it is Dendro+CELL, Tron+Folia or Cam, Do not Show Scanner related items+No Video if LC")+OR(
AND(ROW(K103)&gt;=9,ROW(K103)&lt;=68),
AND(ROW(K103)&gt;=99,ROW(K103)&lt;=158),
AND(ROW(K103)&gt;=189,ROW(K103)&lt;=218),
IF(ISERROR(LEFT(J102,SEARCH("00",J102)-3)),"",LEFT(J102,SEARCH("00",J102)-3))="LC"),
    "", "Video " &amp; IF(1=N("Si système a un scanner différent du Scanner populaire alors différent, sinon Scanner populaire")+AND(NOT(ISERROR(SEARCH("System",J102))),LEFT(J102,2)&lt;&gt;LEFT(PROD_MostPopularScanner,2)),
LEFT(J102,SEARCH("00",J102)-3),
PROD_MostPopularScanner) &amp; " Install"))</f>
        <v/>
      </c>
      <c r="M103" s="507" t="str">
        <f>IF(N("If it is Dendro or Tron, Do not Show Color Analysis Video")+
OR(AND(ROW(L103)&gt;=9,ROW(L103)&lt;=38),
AND(ROW(L103)&gt;=99,ROW(L103)&lt;=128)), "","☐ Video ClrAna")</f>
        <v/>
      </c>
      <c r="N103" s="508" t="str">
        <f>IF(OR(INT((ROW(D103)-10)/30)+1=2,INT((ROW(D103)-10)/30)+1=4),"","☐ ")&amp;
IF(INT((ROW(D103)-10)/30)+1=1,"Scanner.cal","")&amp;
IF(INT((ROW(D103)-10)/30)+1=2,"","")&amp;
IF(INT((ROW(D103)-10)/30)+1=3,"Scanner.cal","")&amp;
IF(INT((ROW(D103)-10)/30)+1=4,"","")&amp;
IF(INT((ROW(D103)-10)/30)+1=5,"Scanner.cal","")&amp;
IF(INT((ROW(D103)-10)/30)+1=6,"Scanner.cal","")&amp;
IF(INT((ROW(D103)-10)/30)+1=7,"Scanner.cal","")&amp;
IF(INT((ROW(D103)-10)/30)+1=8,IF(SCANOPY_Camera, "Indiv", "Gen")&amp; " Lens.cal","")</f>
        <v/>
      </c>
      <c r="O103" s="395" t="str">
        <f>IF(AND(ROW(L103)&gt;=9,ROW(L103)&lt;=38),"☐ RegentTarget.blu","")</f>
        <v/>
      </c>
      <c r="P103" s="302"/>
      <c r="Q103" s="302"/>
    </row>
    <row r="104" spans="1:17" ht="24" customHeight="1" x14ac:dyDescent="0.2">
      <c r="A104" s="563" t="s">
        <v>269</v>
      </c>
      <c r="B104" s="311" t="s">
        <v>269</v>
      </c>
      <c r="C104" s="395" t="s">
        <v>159</v>
      </c>
      <c r="D104" s="395" t="str">
        <f xml:space="preserve"> IF(N("If it is Cam, Do not Show XL")+AND(ROW(D104)&gt;=189,ROW(D104)&lt;=218),"","☐ XL Man")</f>
        <v>☐ XL Man</v>
      </c>
      <c r="E104" s="570" t="str">
        <f>IF(N("Si OR dessous = vrai, pas de box")+OR(
N("1 OR Tron ou CELL")+OR(AND(ROW(K103)&gt;=39,ROW(K103)&lt;=68),AND(ROW(K103)&gt;=99,ROW(K103)&lt;=128)),
N("2 Pas de système scanopy and range opy")+AND(ROW(K103)&gt;=219,ROW(K103)&lt;=248,SCANOPY_N_System&lt;2),
N("3 Avec LC")&amp;IF(ISERROR(LEFT(J102,SEARCH("00",J102)-3)),"",LEFT(J102,SEARCH("00",J102)-3))="LC"),"","☐ ")
&amp;
IF(N("If it's OPY, put OMount Manual instead")+
AND(ROW(J103)&gt;=219,ROW(J103)&lt;=248),
IF(SCANOPY_N_System&gt;1,"OMount Man",""),
IF(N("If it is Cell or Tron, Do not Show Scanner related items")+OR(
AND(ROW(K103)&gt;=39,ROW(K103)&lt;=68),
AND(ROW(K103)&gt;=99,ROW(K103)&lt;=128)),
    "", IF(1=N("Si système a un scanner différent du Scanner populaire alors différent, sinon Scanner populaire")+AND(NOT(ISERROR(SEARCH("System",J102))),LEFT(J102,2)&lt;&gt;LEFT(PROD_MostPopularScanner,2)),
LEFT(J102,SEARCH("00",J102)-3),
PROD_MostPopularScanner) &amp; " Install Man"))</f>
        <v/>
      </c>
      <c r="F104" s="509" t="s">
        <v>285</v>
      </c>
      <c r="G104" s="395" t="s">
        <v>284</v>
      </c>
      <c r="H104" s="572" t="s">
        <v>260</v>
      </c>
      <c r="I104" s="510"/>
      <c r="J104" s="395" t="s">
        <v>160</v>
      </c>
      <c r="K104" s="353"/>
      <c r="L104" s="572" t="s">
        <v>734</v>
      </c>
      <c r="M104" s="395"/>
      <c r="N104" s="509"/>
      <c r="O104" s="395"/>
      <c r="P104" s="302"/>
      <c r="Q104" s="302"/>
    </row>
    <row r="105" spans="1:17" ht="16.25" customHeight="1" x14ac:dyDescent="0.2">
      <c r="A105" s="551"/>
      <c r="B105" s="381"/>
      <c r="C105"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5" s="841"/>
      <c r="E105" s="389"/>
      <c r="F105" s="389"/>
      <c r="G105" s="360" t="str">
        <f>IF(RHIZOTRON_OptionXL*(RHIZOTRON_N_Software+RHIZOTRON_N_UpgradeUpdate-2)&gt;=((ROW(G105)-ROW($G$99))/4+1),"XLRHIZOTRON "&amp; RHIZOTRON_YearMostRecent,"")</f>
        <v/>
      </c>
      <c r="H105" s="343"/>
      <c r="I105" s="343"/>
      <c r="J105" s="360" t="str">
        <f>IF(RHIZOTRON_N_Software-1&gt;((ROW(G105)-ROW($G$99))/4+1),IF(N_SystemTotal=0,"Software Only",IF(N_STDScanners+N_LAScanners+N_LCScanners=0,"Software Sans Scanner","Software Avec Scanner")),
IF(RHIZOTRON_N_UpgradeUpdate-1&gt;=((ROW(G105)-ROW($G$99))/4+1)-(RHIZOTRON_N_Software-1),"Update",""))</f>
        <v/>
      </c>
      <c r="K105" s="343"/>
      <c r="L105" s="342"/>
      <c r="M105" s="342"/>
      <c r="N105" s="342"/>
      <c r="O105" s="302"/>
      <c r="P105" s="302"/>
      <c r="Q105" s="302"/>
    </row>
    <row r="106" spans="1:17" ht="24" customHeight="1" x14ac:dyDescent="0.2">
      <c r="A106" s="563" t="s">
        <v>268</v>
      </c>
      <c r="B106" s="375" t="s">
        <v>268</v>
      </c>
      <c r="C106" s="507" t="str">
        <f>"☐☐ Win" &amp;
IF(INT((ROW(D106)-10)/30)+1=1,"DEN","")&amp;
IF(INT((ROW(D106)-10)/30)+1=2,"CEL","")&amp;
IF(INT((ROW(D106)-10)/30)+1=3,"RHI","")&amp;
IF(INT((ROW(D106)-10)/30)+1=4,"RT","")&amp;
IF(INT((ROW(D106)-10)/30)+1=5,"FOL","")&amp;
IF(INT((ROW(D106)-10)/30)+1=6,"SEE","")&amp;
IF(INT((ROW(D106)-10)/30)+1=7,"CAM","")&amp;
IF(INT((ROW(D106)-10)/30)+1=8,"SCA","") &amp; ".exe"</f>
        <v>☐☐ WinRT.exe</v>
      </c>
      <c r="D106" s="507" t="str">
        <f xml:space="preserve"> IF(N("If it is Cam, Do not Show XL")+AND(ROW(D106)&gt;=189,ROW(D106)&lt;=218),"","☐ XL" &amp;
IF(INT((ROW(D106)-10)/30)+1=1,"STEM","")&amp;
IF(INT((ROW(D106)-10)/30)+1=2,"Cell","")&amp;
IF(INT((ROW(D106)-10)/30)+1=3,"Rhizo","")&amp;
IF(INT((ROW(D106)-10)/30)+1=4,"RhizoT","")&amp;
IF(INT((ROW(D106)-10)/30)+1=5,"Folia","")&amp;
IF(INT((ROW(D106)-10)/30)+1=6,"Seedle","")&amp;
IF(INT((ROW(D106)-10)/30)+1=7,"Cam","")&amp;
IF(INT((ROW(D106)-10)/30)+1=8,"Scanopy","") &amp; ".xls")</f>
        <v>☐ XLRhizoT.xls</v>
      </c>
      <c r="E106" s="507" t="s">
        <v>309</v>
      </c>
      <c r="F106" s="508" t="s">
        <v>159</v>
      </c>
      <c r="G106" s="507" t="str">
        <f xml:space="preserve"> IF(N("If it is Cam, Do not Show XL")+AND(ROW(G106)&gt;=189,ROW(G106)&lt;=218),"","☐ XL Man")</f>
        <v>☐ XL Man</v>
      </c>
      <c r="H106" s="508" t="s">
        <v>290</v>
      </c>
      <c r="I106" s="395" t="s">
        <v>284</v>
      </c>
      <c r="J106" s="508" t="str">
        <f>IF(N("Si OR dessous = vrai, pas de box")+OR(
N("1 OR Tron ou CELL")+OR(AND(ROW(E106)&gt;=39,ROW(E106)&lt;=68),AND(ROW(E106)&gt;=99,ROW(E106)&lt;=128)),
N("2 Pas de système scanopy and range opy")+AND(ROW(E106)&gt;=219,ROW(E106)&lt;=248,SCANOPY_N_System&lt;2),
N("3 Avec LC")&amp;IF(ISERROR(LEFT(D105,SEARCH("00",D105)-3)),"",LEFT(D105,SEARCH("00",D105)-3))="LC"),"","☐ ")
&amp;
IF(N("If it's OPY, put OMount Manual instead")+
AND(ROW(D106)&gt;=219,ROW(D106)&lt;=248),
IF(SCANOPY_N_System&gt;1,
IF(SCANOPY_IndexScanner=1,"α" &amp; SCANOPY_CameraModel,SCANOPY_CameraModel_Mini) &amp; " Man",""),
IF(N("If it is Cell or Tron, Do not Show Scanner related items+No Video if LC")+OR(
AND(ROW(E106)&gt;=39,ROW(E106)&lt;=68),
AND(ROW(E106)&gt;=99,ROW(E106)&lt;=128)),
    "", IF(1=N("Si système a un scanner différent du Scanner populaire alors différent, sinon Scanner populaire")+AND(NOT(ISERROR(SEARCH("System",D105))),LEFT(D105,2)&lt;&gt;LEFT(PROD_MostPopularScanner,2)),
LEFT(D105,SEARCH("00",D105)-3),
PROD_MostPopularScanner) &amp; " Install Man"))</f>
        <v/>
      </c>
      <c r="K106" s="507" t="str">
        <f>IF(N("If it is Cell or Tron or OPY, Do not Show Twain")+OR(AND(ROW(K106)&gt;=39,ROW(K106)&lt;=68),AND(ROW(K106)&gt;=99,ROW(K106)&lt;=128),AND(ROW(J106)&gt;=219,ROW(J106)&lt;=248)),"","☐ TWAIN")</f>
        <v/>
      </c>
      <c r="L106" s="508" t="str">
        <f>IF(N("Si OR dessous = vrai, pas de box")+OR(
N("1 OR Dendro+CELL, Tron+Folia,Cam")+OR(
AND(ROW(K106)&gt;=9,ROW(K106)&lt;=68),
AND(ROW(K106)&gt;=99,ROW(K106)&lt;=158),
AND(ROW(K106)&gt;=189,ROW(K106)&lt;=218)),
N("2 Pas de système scanopy and range opy")+AND(ROW(K106)&gt;=219,ROW(K106)&lt;=248,SCANOPY_N_System&lt;2),
N("3 Avec LC")&amp;IF(ISERROR(LEFT(J105,SEARCH("00",J105)-3)),"",LEFT(J105,SEARCH("00",J105)-3))="LC"),"","☐ ")
&amp;
IF(N("If it's OPY, put OMount Manual instead")+
AND(ROW(J106)&gt;=219,ROW(J106)&lt;=248),
IF(SCANOPY_N_System&gt;1,"OMount Man",""),
IF(N("If it is Dendro+CELL, Tron+Folia or Cam, Do not Show Scanner related items+No Video if LC")+OR(
AND(ROW(K106)&gt;=9,ROW(K106)&lt;=68),
AND(ROW(K106)&gt;=99,ROW(K106)&lt;=158),
AND(ROW(K106)&gt;=189,ROW(K106)&lt;=218),
IF(ISERROR(LEFT(J105,SEARCH("00",J105)-3)),"",LEFT(J105,SEARCH("00",J105)-3))="LC"),
    "", "Video " &amp; IF(1=N("Si système a un scanner différent du Scanner populaire alors différent, sinon Scanner populaire")+AND(NOT(ISERROR(SEARCH("System",J105))),LEFT(J105,2)&lt;&gt;LEFT(PROD_MostPopularScanner,2)),
LEFT(J105,SEARCH("00",J105)-3),
PROD_MostPopularScanner) &amp; " Install"))</f>
        <v/>
      </c>
      <c r="M106" s="507" t="str">
        <f>IF(N("If it is Dendro or Tron, Do not Show Color Analysis Video")+
OR(AND(ROW(L106)&gt;=9,ROW(L106)&lt;=38),
AND(ROW(L106)&gt;=99,ROW(L106)&lt;=128)), "","☐ Video ClrAna")</f>
        <v/>
      </c>
      <c r="N106" s="508" t="str">
        <f>IF(OR(INT((ROW(D106)-10)/30)+1=2,INT((ROW(D106)-10)/30)+1=4),"","☐ ")&amp;
IF(INT((ROW(D106)-10)/30)+1=1,"Scanner.cal","")&amp;
IF(INT((ROW(D106)-10)/30)+1=2,"","")&amp;
IF(INT((ROW(D106)-10)/30)+1=3,"Scanner.cal","")&amp;
IF(INT((ROW(D106)-10)/30)+1=4,"","")&amp;
IF(INT((ROW(D106)-10)/30)+1=5,"Scanner.cal","")&amp;
IF(INT((ROW(D106)-10)/30)+1=6,"Scanner.cal","")&amp;
IF(INT((ROW(D106)-10)/30)+1=7,"Scanner.cal","")&amp;
IF(INT((ROW(D106)-10)/30)+1=8,IF(SCANOPY_Camera, "Indiv", "Gen")&amp; " Lens.cal","")</f>
        <v/>
      </c>
      <c r="O106" s="395" t="str">
        <f>IF(AND(ROW(L106)&gt;=9,ROW(L106)&lt;=38),"☐ RegentTarget.blu","")</f>
        <v/>
      </c>
      <c r="P106" s="302"/>
      <c r="Q106" s="302"/>
    </row>
    <row r="107" spans="1:17" ht="24" customHeight="1" x14ac:dyDescent="0.2">
      <c r="A107" s="563" t="s">
        <v>269</v>
      </c>
      <c r="B107" s="311" t="s">
        <v>269</v>
      </c>
      <c r="C107" s="395" t="s">
        <v>159</v>
      </c>
      <c r="D107" s="395" t="str">
        <f xml:space="preserve"> IF(N("If it is Cam, Do not Show XL")+AND(ROW(D107)&gt;=189,ROW(D107)&lt;=218),"","☐ XL Man")</f>
        <v>☐ XL Man</v>
      </c>
      <c r="E107" s="570" t="str">
        <f>IF(N("Si OR dessous = vrai, pas de box")+OR(
N("1 OR Tron ou CELL")+OR(AND(ROW(K106)&gt;=39,ROW(K106)&lt;=68),AND(ROW(K106)&gt;=99,ROW(K106)&lt;=128)),
N("2 Pas de système scanopy and range opy")+AND(ROW(K106)&gt;=219,ROW(K106)&lt;=248,SCANOPY_N_System&lt;2),
N("3 Avec LC")&amp;IF(ISERROR(LEFT(J105,SEARCH("00",J105)-3)),"",LEFT(J105,SEARCH("00",J105)-3))="LC"),"","☐ ")
&amp;
IF(N("If it's OPY, put OMount Manual instead")+
AND(ROW(J106)&gt;=219,ROW(J106)&lt;=248),
IF(SCANOPY_N_System&gt;1,"OMount Man",""),
IF(N("If it is Cell or Tron, Do not Show Scanner related items")+OR(
AND(ROW(K106)&gt;=39,ROW(K106)&lt;=68),
AND(ROW(K106)&gt;=99,ROW(K106)&lt;=128)),
    "", IF(1=N("Si système a un scanner différent du Scanner populaire alors différent, sinon Scanner populaire")+AND(NOT(ISERROR(SEARCH("System",J105))),LEFT(J105,2)&lt;&gt;LEFT(PROD_MostPopularScanner,2)),
LEFT(J105,SEARCH("00",J105)-3),
PROD_MostPopularScanner) &amp; " Install Man"))</f>
        <v/>
      </c>
      <c r="F107" s="509" t="s">
        <v>285</v>
      </c>
      <c r="G107" s="395" t="s">
        <v>284</v>
      </c>
      <c r="H107" s="572" t="s">
        <v>260</v>
      </c>
      <c r="I107" s="510"/>
      <c r="J107" s="395" t="s">
        <v>160</v>
      </c>
      <c r="K107" s="353"/>
      <c r="L107" s="572" t="s">
        <v>734</v>
      </c>
      <c r="M107" s="395"/>
      <c r="N107" s="509"/>
      <c r="O107" s="395"/>
      <c r="P107" s="302"/>
      <c r="Q107" s="302"/>
    </row>
    <row r="108" spans="1:17" ht="16.25" customHeight="1" x14ac:dyDescent="0.2">
      <c r="A108" s="551"/>
      <c r="B108" s="381"/>
      <c r="C108"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08" s="841"/>
      <c r="E108" s="389"/>
      <c r="F108" s="389"/>
      <c r="G108" s="360" t="str">
        <f>IF(RHIZOTRON_OptionXL*(RHIZOTRON_N_Software+RHIZOTRON_N_UpgradeUpdate-2)&gt;=((ROW(G108)-ROW($G$99))/4+1),"XLRHIZOTRON "&amp; RHIZOTRON_YearMostRecent,"")</f>
        <v/>
      </c>
      <c r="H108" s="343"/>
      <c r="I108" s="343"/>
      <c r="J108" s="360" t="str">
        <f>IF(RHIZOTRON_N_Software-1&gt;((ROW(G108)-ROW($G$99))/4+1),IF(N_SystemTotal=0,"Software Only",IF(N_STDScanners+N_LAScanners+N_LCScanners=0,"Software Sans Scanner","Software Avec Scanner")),
IF(RHIZOTRON_N_UpgradeUpdate-1&gt;=((ROW(G108)-ROW($G$99))/4+1)-(RHIZOTRON_N_Software-1),"Update",""))</f>
        <v/>
      </c>
      <c r="K108" s="343"/>
      <c r="L108" s="342"/>
      <c r="M108" s="342"/>
      <c r="N108" s="342"/>
      <c r="O108" s="302"/>
      <c r="P108" s="302"/>
      <c r="Q108" s="302"/>
    </row>
    <row r="109" spans="1:17" ht="24" customHeight="1" x14ac:dyDescent="0.2">
      <c r="A109" s="563" t="s">
        <v>268</v>
      </c>
      <c r="B109" s="375" t="s">
        <v>268</v>
      </c>
      <c r="C109" s="507" t="str">
        <f>"☐☐ Win" &amp;
IF(INT((ROW(D109)-10)/30)+1=1,"DEN","")&amp;
IF(INT((ROW(D109)-10)/30)+1=2,"CEL","")&amp;
IF(INT((ROW(D109)-10)/30)+1=3,"RHI","")&amp;
IF(INT((ROW(D109)-10)/30)+1=4,"RT","")&amp;
IF(INT((ROW(D109)-10)/30)+1=5,"FOL","")&amp;
IF(INT((ROW(D109)-10)/30)+1=6,"SEE","")&amp;
IF(INT((ROW(D109)-10)/30)+1=7,"CAM","")&amp;
IF(INT((ROW(D109)-10)/30)+1=8,"SCA","") &amp; ".exe"</f>
        <v>☐☐ WinRT.exe</v>
      </c>
      <c r="D109" s="507" t="str">
        <f xml:space="preserve"> IF(N("If it is Cam, Do not Show XL")+AND(ROW(D109)&gt;=189,ROW(D109)&lt;=218),"","☐ XL" &amp;
IF(INT((ROW(D109)-10)/30)+1=1,"STEM","")&amp;
IF(INT((ROW(D109)-10)/30)+1=2,"Cell","")&amp;
IF(INT((ROW(D109)-10)/30)+1=3,"Rhizo","")&amp;
IF(INT((ROW(D109)-10)/30)+1=4,"RhizoT","")&amp;
IF(INT((ROW(D109)-10)/30)+1=5,"Folia","")&amp;
IF(INT((ROW(D109)-10)/30)+1=6,"Seedle","")&amp;
IF(INT((ROW(D109)-10)/30)+1=7,"Cam","")&amp;
IF(INT((ROW(D109)-10)/30)+1=8,"Scanopy","") &amp; ".xls")</f>
        <v>☐ XLRhizoT.xls</v>
      </c>
      <c r="E109" s="507" t="s">
        <v>309</v>
      </c>
      <c r="F109" s="508" t="s">
        <v>159</v>
      </c>
      <c r="G109" s="507" t="str">
        <f xml:space="preserve"> IF(N("If it is Cam, Do not Show XL")+AND(ROW(G109)&gt;=189,ROW(G109)&lt;=218),"","☐ XL Man")</f>
        <v>☐ XL Man</v>
      </c>
      <c r="H109" s="508" t="s">
        <v>290</v>
      </c>
      <c r="I109" s="395" t="s">
        <v>284</v>
      </c>
      <c r="J109" s="508" t="str">
        <f>IF(N("Si OR dessous = vrai, pas de box")+OR(
N("1 OR Tron ou CELL")+OR(AND(ROW(E109)&gt;=39,ROW(E109)&lt;=68),AND(ROW(E109)&gt;=99,ROW(E109)&lt;=128)),
N("2 Pas de système scanopy and range opy")+AND(ROW(E109)&gt;=219,ROW(E109)&lt;=248,SCANOPY_N_System&lt;2),
N("3 Avec LC")&amp;IF(ISERROR(LEFT(D108,SEARCH("00",D108)-3)),"",LEFT(D108,SEARCH("00",D108)-3))="LC"),"","☐ ")
&amp;
IF(N("If it's OPY, put OMount Manual instead")+
AND(ROW(D109)&gt;=219,ROW(D109)&lt;=248),
IF(SCANOPY_N_System&gt;1,
IF(SCANOPY_IndexScanner=1,"α" &amp; SCANOPY_CameraModel,SCANOPY_CameraModel_Mini) &amp; " Man",""),
IF(N("If it is Cell or Tron, Do not Show Scanner related items+No Video if LC")+OR(
AND(ROW(E109)&gt;=39,ROW(E109)&lt;=68),
AND(ROW(E109)&gt;=99,ROW(E109)&lt;=128)),
    "", IF(1=N("Si système a un scanner différent du Scanner populaire alors différent, sinon Scanner populaire")+AND(NOT(ISERROR(SEARCH("System",D108))),LEFT(D108,2)&lt;&gt;LEFT(PROD_MostPopularScanner,2)),
LEFT(D108,SEARCH("00",D108)-3),
PROD_MostPopularScanner) &amp; " Install Man"))</f>
        <v/>
      </c>
      <c r="K109" s="507" t="str">
        <f>IF(N("If it is Cell or Tron or OPY, Do not Show Twain")+OR(AND(ROW(K109)&gt;=39,ROW(K109)&lt;=68),AND(ROW(K109)&gt;=99,ROW(K109)&lt;=128),AND(ROW(J109)&gt;=219,ROW(J109)&lt;=248)),"","☐ TWAIN")</f>
        <v/>
      </c>
      <c r="L109" s="508" t="str">
        <f>IF(N("Si OR dessous = vrai, pas de box")+OR(
N("1 OR Dendro+CELL, Tron+Folia,Cam")+OR(
AND(ROW(K109)&gt;=9,ROW(K109)&lt;=68),
AND(ROW(K109)&gt;=99,ROW(K109)&lt;=158),
AND(ROW(K109)&gt;=189,ROW(K109)&lt;=218)),
N("2 Pas de système scanopy and range opy")+AND(ROW(K109)&gt;=219,ROW(K109)&lt;=248,SCANOPY_N_System&lt;2),
N("3 Avec LC")&amp;IF(ISERROR(LEFT(J108,SEARCH("00",J108)-3)),"",LEFT(J108,SEARCH("00",J108)-3))="LC"),"","☐ ")
&amp;
IF(N("If it's OPY, put OMount Manual instead")+
AND(ROW(J109)&gt;=219,ROW(J109)&lt;=248),
IF(SCANOPY_N_System&gt;1,"OMount Man",""),
IF(N("If it is Dendro+CELL, Tron+Folia or Cam, Do not Show Scanner related items+No Video if LC")+OR(
AND(ROW(K109)&gt;=9,ROW(K109)&lt;=68),
AND(ROW(K109)&gt;=99,ROW(K109)&lt;=158),
AND(ROW(K109)&gt;=189,ROW(K109)&lt;=218),
IF(ISERROR(LEFT(J108,SEARCH("00",J108)-3)),"",LEFT(J108,SEARCH("00",J108)-3))="LC"),
    "", "Video " &amp; IF(1=N("Si système a un scanner différent du Scanner populaire alors différent, sinon Scanner populaire")+AND(NOT(ISERROR(SEARCH("System",J108))),LEFT(J108,2)&lt;&gt;LEFT(PROD_MostPopularScanner,2)),
LEFT(J108,SEARCH("00",J108)-3),
PROD_MostPopularScanner) &amp; " Install"))</f>
        <v/>
      </c>
      <c r="M109" s="507" t="str">
        <f>IF(N("If it is Dendro or Tron, Do not Show Color Analysis Video")+
OR(AND(ROW(L109)&gt;=9,ROW(L109)&lt;=38),
AND(ROW(L109)&gt;=99,ROW(L109)&lt;=128)), "","☐ Video ClrAna")</f>
        <v/>
      </c>
      <c r="N109" s="508" t="str">
        <f>IF(OR(INT((ROW(D109)-10)/30)+1=2,INT((ROW(D109)-10)/30)+1=4),"","☐ ")&amp;
IF(INT((ROW(D109)-10)/30)+1=1,"Scanner.cal","")&amp;
IF(INT((ROW(D109)-10)/30)+1=2,"","")&amp;
IF(INT((ROW(D109)-10)/30)+1=3,"Scanner.cal","")&amp;
IF(INT((ROW(D109)-10)/30)+1=4,"","")&amp;
IF(INT((ROW(D109)-10)/30)+1=5,"Scanner.cal","")&amp;
IF(INT((ROW(D109)-10)/30)+1=6,"Scanner.cal","")&amp;
IF(INT((ROW(D109)-10)/30)+1=7,"Scanner.cal","")&amp;
IF(INT((ROW(D109)-10)/30)+1=8,IF(SCANOPY_Camera, "Indiv", "Gen")&amp; " Lens.cal","")</f>
        <v/>
      </c>
      <c r="O109" s="395" t="str">
        <f>IF(AND(ROW(L109)&gt;=9,ROW(L109)&lt;=38),"☐ RegentTarget.blu","")</f>
        <v/>
      </c>
      <c r="P109" s="302"/>
      <c r="Q109" s="302"/>
    </row>
    <row r="110" spans="1:17" ht="24" customHeight="1" x14ac:dyDescent="0.2">
      <c r="A110" s="563" t="s">
        <v>269</v>
      </c>
      <c r="B110" s="311" t="s">
        <v>269</v>
      </c>
      <c r="C110" s="395" t="s">
        <v>159</v>
      </c>
      <c r="D110" s="395" t="str">
        <f xml:space="preserve"> IF(N("If it is Cam, Do not Show XL")+AND(ROW(D110)&gt;=189,ROW(D110)&lt;=218),"","☐ XL Man")</f>
        <v>☐ XL Man</v>
      </c>
      <c r="E110" s="570" t="str">
        <f>IF(N("Si OR dessous = vrai, pas de box")+OR(
N("1 OR Tron ou CELL")+OR(AND(ROW(K109)&gt;=39,ROW(K109)&lt;=68),AND(ROW(K109)&gt;=99,ROW(K109)&lt;=128)),
N("2 Pas de système scanopy and range opy")+AND(ROW(K109)&gt;=219,ROW(K109)&lt;=248,SCANOPY_N_System&lt;2),
N("3 Avec LC")&amp;IF(ISERROR(LEFT(J108,SEARCH("00",J108)-3)),"",LEFT(J108,SEARCH("00",J108)-3))="LC"),"","☐ ")
&amp;
IF(N("If it's OPY, put OMount Manual instead")+
AND(ROW(J109)&gt;=219,ROW(J109)&lt;=248),
IF(SCANOPY_N_System&gt;1,"OMount Man",""),
IF(N("If it is Cell or Tron, Do not Show Scanner related items")+OR(
AND(ROW(K109)&gt;=39,ROW(K109)&lt;=68),
AND(ROW(K109)&gt;=99,ROW(K109)&lt;=128)),
    "", IF(1=N("Si système a un scanner différent du Scanner populaire alors différent, sinon Scanner populaire")+AND(NOT(ISERROR(SEARCH("System",J108))),LEFT(J108,2)&lt;&gt;LEFT(PROD_MostPopularScanner,2)),
LEFT(J108,SEARCH("00",J108)-3),
PROD_MostPopularScanner) &amp; " Install Man"))</f>
        <v/>
      </c>
      <c r="F110" s="509" t="s">
        <v>285</v>
      </c>
      <c r="G110" s="395" t="s">
        <v>284</v>
      </c>
      <c r="H110" s="572" t="s">
        <v>260</v>
      </c>
      <c r="I110" s="510"/>
      <c r="J110" s="395" t="s">
        <v>160</v>
      </c>
      <c r="K110" s="353"/>
      <c r="L110" s="572" t="s">
        <v>734</v>
      </c>
      <c r="M110" s="395"/>
      <c r="N110" s="509"/>
      <c r="O110" s="395"/>
      <c r="P110" s="302"/>
      <c r="Q110" s="302"/>
    </row>
    <row r="111" spans="1:17" ht="16.25" customHeight="1" x14ac:dyDescent="0.2">
      <c r="A111" s="551"/>
      <c r="B111" s="381"/>
      <c r="C111"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1" s="841"/>
      <c r="E111" s="389"/>
      <c r="F111" s="389"/>
      <c r="G111" s="360" t="str">
        <f>IF(RHIZOTRON_OptionXL*(RHIZOTRON_N_Software+RHIZOTRON_N_UpgradeUpdate-2)&gt;=((ROW(G111)-ROW($G$99))/4+1),"XLRHIZOTRON "&amp; RHIZOTRON_YearMostRecent,"")</f>
        <v/>
      </c>
      <c r="H111" s="343"/>
      <c r="I111" s="343"/>
      <c r="J111" s="360" t="str">
        <f>IF(RHIZOTRON_N_Software-1&gt;((ROW(G111)-ROW($G$99))/4+1),IF(N_SystemTotal=0,"Software Only",IF(N_STDScanners+N_LAScanners+N_LCScanners=0,"Software Sans Scanner","Software Avec Scanner")),
IF(RHIZOTRON_N_UpgradeUpdate-1&gt;=((ROW(G111)-ROW($G$99))/4+1)-(RHIZOTRON_N_Software-1),"Update",""))</f>
        <v/>
      </c>
      <c r="K111" s="343"/>
      <c r="L111" s="342"/>
      <c r="M111" s="342"/>
      <c r="N111" s="342"/>
      <c r="O111" s="302"/>
      <c r="P111" s="302"/>
      <c r="Q111" s="302"/>
    </row>
    <row r="112" spans="1:17" ht="24" customHeight="1" x14ac:dyDescent="0.2">
      <c r="A112" s="563" t="s">
        <v>268</v>
      </c>
      <c r="B112" s="375" t="s">
        <v>268</v>
      </c>
      <c r="C112" s="507" t="str">
        <f>"☐☐ Win" &amp;
IF(INT((ROW(D112)-10)/30)+1=1,"DEN","")&amp;
IF(INT((ROW(D112)-10)/30)+1=2,"CEL","")&amp;
IF(INT((ROW(D112)-10)/30)+1=3,"RHI","")&amp;
IF(INT((ROW(D112)-10)/30)+1=4,"RT","")&amp;
IF(INT((ROW(D112)-10)/30)+1=5,"FOL","")&amp;
IF(INT((ROW(D112)-10)/30)+1=6,"SEE","")&amp;
IF(INT((ROW(D112)-10)/30)+1=7,"CAM","")&amp;
IF(INT((ROW(D112)-10)/30)+1=8,"SCA","") &amp; ".exe"</f>
        <v>☐☐ WinRT.exe</v>
      </c>
      <c r="D112" s="507" t="str">
        <f xml:space="preserve"> IF(N("If it is Cam, Do not Show XL")+AND(ROW(D112)&gt;=189,ROW(D112)&lt;=218),"","☐ XL" &amp;
IF(INT((ROW(D112)-10)/30)+1=1,"STEM","")&amp;
IF(INT((ROW(D112)-10)/30)+1=2,"Cell","")&amp;
IF(INT((ROW(D112)-10)/30)+1=3,"Rhizo","")&amp;
IF(INT((ROW(D112)-10)/30)+1=4,"RhizoT","")&amp;
IF(INT((ROW(D112)-10)/30)+1=5,"Folia","")&amp;
IF(INT((ROW(D112)-10)/30)+1=6,"Seedle","")&amp;
IF(INT((ROW(D112)-10)/30)+1=7,"Cam","")&amp;
IF(INT((ROW(D112)-10)/30)+1=8,"Scanopy","") &amp; ".xls")</f>
        <v>☐ XLRhizoT.xls</v>
      </c>
      <c r="E112" s="507" t="s">
        <v>309</v>
      </c>
      <c r="F112" s="508" t="s">
        <v>159</v>
      </c>
      <c r="G112" s="507" t="str">
        <f xml:space="preserve"> IF(N("If it is Cam, Do not Show XL")+AND(ROW(G112)&gt;=189,ROW(G112)&lt;=218),"","☐ XL Man")</f>
        <v>☐ XL Man</v>
      </c>
      <c r="H112" s="508" t="s">
        <v>290</v>
      </c>
      <c r="I112" s="395" t="s">
        <v>284</v>
      </c>
      <c r="J112" s="508" t="str">
        <f>IF(N("Si OR dessous = vrai, pas de box")+OR(
N("1 OR Tron ou CELL")+OR(AND(ROW(E112)&gt;=39,ROW(E112)&lt;=68),AND(ROW(E112)&gt;=99,ROW(E112)&lt;=128)),
N("2 Pas de système scanopy and range opy")+AND(ROW(E112)&gt;=219,ROW(E112)&lt;=248,SCANOPY_N_System&lt;2),
N("3 Avec LC")&amp;IF(ISERROR(LEFT(D111,SEARCH("00",D111)-3)),"",LEFT(D111,SEARCH("00",D111)-3))="LC"),"","☐ ")
&amp;
IF(N("If it's OPY, put OMount Manual instead")+
AND(ROW(D112)&gt;=219,ROW(D112)&lt;=248),
IF(SCANOPY_N_System&gt;1,
IF(SCANOPY_IndexScanner=1,"α" &amp; SCANOPY_CameraModel,SCANOPY_CameraModel_Mini) &amp; " Man",""),
IF(N("If it is Cell or Tron, Do not Show Scanner related items+No Video if LC")+OR(
AND(ROW(E112)&gt;=39,ROW(E112)&lt;=68),
AND(ROW(E112)&gt;=99,ROW(E112)&lt;=128)),
    "", IF(1=N("Si système a un scanner différent du Scanner populaire alors différent, sinon Scanner populaire")+AND(NOT(ISERROR(SEARCH("System",D111))),LEFT(D111,2)&lt;&gt;LEFT(PROD_MostPopularScanner,2)),
LEFT(D111,SEARCH("00",D111)-3),
PROD_MostPopularScanner) &amp; " Install Man"))</f>
        <v/>
      </c>
      <c r="K112" s="507" t="str">
        <f>IF(N("If it is Cell or Tron or OPY, Do not Show Twain")+OR(AND(ROW(K112)&gt;=39,ROW(K112)&lt;=68),AND(ROW(K112)&gt;=99,ROW(K112)&lt;=128),AND(ROW(J112)&gt;=219,ROW(J112)&lt;=248)),"","☐ TWAIN")</f>
        <v/>
      </c>
      <c r="L112" s="508" t="str">
        <f>IF(N("Si OR dessous = vrai, pas de box")+OR(
N("1 OR Dendro+CELL, Tron+Folia,Cam")+OR(
AND(ROW(K112)&gt;=9,ROW(K112)&lt;=68),
AND(ROW(K112)&gt;=99,ROW(K112)&lt;=158),
AND(ROW(K112)&gt;=189,ROW(K112)&lt;=218)),
N("2 Pas de système scanopy and range opy")+AND(ROW(K112)&gt;=219,ROW(K112)&lt;=248,SCANOPY_N_System&lt;2),
N("3 Avec LC")&amp;IF(ISERROR(LEFT(J111,SEARCH("00",J111)-3)),"",LEFT(J111,SEARCH("00",J111)-3))="LC"),"","☐ ")
&amp;
IF(N("If it's OPY, put OMount Manual instead")+
AND(ROW(J112)&gt;=219,ROW(J112)&lt;=248),
IF(SCANOPY_N_System&gt;1,"OMount Man",""),
IF(N("If it is Dendro+CELL, Tron+Folia or Cam, Do not Show Scanner related items+No Video if LC")+OR(
AND(ROW(K112)&gt;=9,ROW(K112)&lt;=68),
AND(ROW(K112)&gt;=99,ROW(K112)&lt;=158),
AND(ROW(K112)&gt;=189,ROW(K112)&lt;=218),
IF(ISERROR(LEFT(J111,SEARCH("00",J111)-3)),"",LEFT(J111,SEARCH("00",J111)-3))="LC"),
    "", "Video " &amp; IF(1=N("Si système a un scanner différent du Scanner populaire alors différent, sinon Scanner populaire")+AND(NOT(ISERROR(SEARCH("System",J111))),LEFT(J111,2)&lt;&gt;LEFT(PROD_MostPopularScanner,2)),
LEFT(J111,SEARCH("00",J111)-3),
PROD_MostPopularScanner) &amp; " Install"))</f>
        <v/>
      </c>
      <c r="M112" s="507" t="str">
        <f>IF(N("If it is Dendro or Tron, Do not Show Color Analysis Video")+
OR(AND(ROW(L112)&gt;=9,ROW(L112)&lt;=38),
AND(ROW(L112)&gt;=99,ROW(L112)&lt;=128)), "","☐ Video ClrAna")</f>
        <v/>
      </c>
      <c r="N112" s="508" t="str">
        <f>IF(OR(INT((ROW(D112)-10)/30)+1=2,INT((ROW(D112)-10)/30)+1=4),"","☐ ")&amp;
IF(INT((ROW(D112)-10)/30)+1=1,"Scanner.cal","")&amp;
IF(INT((ROW(D112)-10)/30)+1=2,"","")&amp;
IF(INT((ROW(D112)-10)/30)+1=3,"Scanner.cal","")&amp;
IF(INT((ROW(D112)-10)/30)+1=4,"","")&amp;
IF(INT((ROW(D112)-10)/30)+1=5,"Scanner.cal","")&amp;
IF(INT((ROW(D112)-10)/30)+1=6,"Scanner.cal","")&amp;
IF(INT((ROW(D112)-10)/30)+1=7,"Scanner.cal","")&amp;
IF(INT((ROW(D112)-10)/30)+1=8,IF(SCANOPY_Camera, "Indiv", "Gen")&amp; " Lens.cal","")</f>
        <v/>
      </c>
      <c r="O112" s="395" t="str">
        <f>IF(AND(ROW(L112)&gt;=9,ROW(L112)&lt;=38),"☐ RegentTarget.blu","")</f>
        <v/>
      </c>
      <c r="P112" s="302"/>
      <c r="Q112" s="302"/>
    </row>
    <row r="113" spans="1:17" ht="24" customHeight="1" x14ac:dyDescent="0.2">
      <c r="A113" s="563" t="s">
        <v>269</v>
      </c>
      <c r="B113" s="311" t="s">
        <v>269</v>
      </c>
      <c r="C113" s="395" t="s">
        <v>159</v>
      </c>
      <c r="D113" s="395" t="str">
        <f xml:space="preserve"> IF(N("If it is Cam, Do not Show XL")+AND(ROW(D113)&gt;=189,ROW(D113)&lt;=218),"","☐ XL Man")</f>
        <v>☐ XL Man</v>
      </c>
      <c r="E113" s="570" t="str">
        <f>IF(N("Si OR dessous = vrai, pas de box")+OR(
N("1 OR Tron ou CELL")+OR(AND(ROW(K112)&gt;=39,ROW(K112)&lt;=68),AND(ROW(K112)&gt;=99,ROW(K112)&lt;=128)),
N("2 Pas de système scanopy and range opy")+AND(ROW(K112)&gt;=219,ROW(K112)&lt;=248,SCANOPY_N_System&lt;2),
N("3 Avec LC")&amp;IF(ISERROR(LEFT(J111,SEARCH("00",J111)-3)),"",LEFT(J111,SEARCH("00",J111)-3))="LC"),"","☐ ")
&amp;
IF(N("If it's OPY, put OMount Manual instead")+
AND(ROW(J112)&gt;=219,ROW(J112)&lt;=248),
IF(SCANOPY_N_System&gt;1,"OMount Man",""),
IF(N("If it is Cell or Tron, Do not Show Scanner related items")+OR(
AND(ROW(K112)&gt;=39,ROW(K112)&lt;=68),
AND(ROW(K112)&gt;=99,ROW(K112)&lt;=128)),
    "", IF(1=N("Si système a un scanner différent du Scanner populaire alors différent, sinon Scanner populaire")+AND(NOT(ISERROR(SEARCH("System",J111))),LEFT(J111,2)&lt;&gt;LEFT(PROD_MostPopularScanner,2)),
LEFT(J111,SEARCH("00",J111)-3),
PROD_MostPopularScanner) &amp; " Install Man"))</f>
        <v/>
      </c>
      <c r="F113" s="509" t="s">
        <v>285</v>
      </c>
      <c r="G113" s="395" t="s">
        <v>284</v>
      </c>
      <c r="H113" s="572" t="s">
        <v>260</v>
      </c>
      <c r="I113" s="510"/>
      <c r="J113" s="395" t="s">
        <v>160</v>
      </c>
      <c r="K113" s="353"/>
      <c r="L113" s="572" t="s">
        <v>734</v>
      </c>
      <c r="M113" s="395"/>
      <c r="N113" s="509"/>
      <c r="O113" s="395"/>
      <c r="P113" s="302"/>
      <c r="Q113" s="302"/>
    </row>
    <row r="114" spans="1:17" ht="16.25" customHeight="1" x14ac:dyDescent="0.2">
      <c r="A114" s="551"/>
      <c r="B114" s="381"/>
      <c r="C114"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4" s="841"/>
      <c r="E114" s="389"/>
      <c r="F114" s="389"/>
      <c r="G114" s="360" t="str">
        <f>IF(RHIZOTRON_OptionXL*(RHIZOTRON_N_Software+RHIZOTRON_N_UpgradeUpdate-2)&gt;=((ROW(G114)-ROW($G$99))/4+1),"XLRHIZOTRON "&amp; RHIZOTRON_YearMostRecent,"")</f>
        <v/>
      </c>
      <c r="H114" s="343"/>
      <c r="I114" s="343"/>
      <c r="J114" s="360" t="str">
        <f>IF(RHIZOTRON_N_Software-1&gt;((ROW(G114)-ROW($G$99))/4+1),IF(N_SystemTotal=0,"Software Only",IF(N_STDScanners+N_LAScanners+N_LCScanners=0,"Software Sans Scanner","Software Avec Scanner")),
IF(RHIZOTRON_N_UpgradeUpdate-1&gt;=((ROW(G114)-ROW($G$99))/4+1)-(RHIZOTRON_N_Software-1),"Update",""))</f>
        <v/>
      </c>
      <c r="K114" s="343"/>
      <c r="L114" s="342"/>
      <c r="M114" s="342"/>
      <c r="N114" s="342"/>
      <c r="O114" s="302"/>
      <c r="P114" s="302"/>
      <c r="Q114" s="302"/>
    </row>
    <row r="115" spans="1:17" ht="24" customHeight="1" x14ac:dyDescent="0.2">
      <c r="A115" s="563" t="s">
        <v>268</v>
      </c>
      <c r="B115" s="375" t="s">
        <v>268</v>
      </c>
      <c r="C115" s="507" t="str">
        <f>"☐☐ Win" &amp;
IF(INT((ROW(D115)-10)/30)+1=1,"DEN","")&amp;
IF(INT((ROW(D115)-10)/30)+1=2,"CEL","")&amp;
IF(INT((ROW(D115)-10)/30)+1=3,"RHI","")&amp;
IF(INT((ROW(D115)-10)/30)+1=4,"RT","")&amp;
IF(INT((ROW(D115)-10)/30)+1=5,"FOL","")&amp;
IF(INT((ROW(D115)-10)/30)+1=6,"SEE","")&amp;
IF(INT((ROW(D115)-10)/30)+1=7,"CAM","")&amp;
IF(INT((ROW(D115)-10)/30)+1=8,"SCA","") &amp; ".exe"</f>
        <v>☐☐ WinRT.exe</v>
      </c>
      <c r="D115" s="507" t="str">
        <f xml:space="preserve"> IF(N("If it is Cam, Do not Show XL")+AND(ROW(D115)&gt;=189,ROW(D115)&lt;=218),"","☐ XL" &amp;
IF(INT((ROW(D115)-10)/30)+1=1,"STEM","")&amp;
IF(INT((ROW(D115)-10)/30)+1=2,"Cell","")&amp;
IF(INT((ROW(D115)-10)/30)+1=3,"Rhizo","")&amp;
IF(INT((ROW(D115)-10)/30)+1=4,"RhizoT","")&amp;
IF(INT((ROW(D115)-10)/30)+1=5,"Folia","")&amp;
IF(INT((ROW(D115)-10)/30)+1=6,"Seedle","")&amp;
IF(INT((ROW(D115)-10)/30)+1=7,"Cam","")&amp;
IF(INT((ROW(D115)-10)/30)+1=8,"Scanopy","") &amp; ".xls")</f>
        <v>☐ XLRhizoT.xls</v>
      </c>
      <c r="E115" s="507" t="s">
        <v>309</v>
      </c>
      <c r="F115" s="508" t="s">
        <v>159</v>
      </c>
      <c r="G115" s="507" t="str">
        <f xml:space="preserve"> IF(N("If it is Cam, Do not Show XL")+AND(ROW(G115)&gt;=189,ROW(G115)&lt;=218),"","☐ XL Man")</f>
        <v>☐ XL Man</v>
      </c>
      <c r="H115" s="508" t="s">
        <v>290</v>
      </c>
      <c r="I115" s="395" t="s">
        <v>284</v>
      </c>
      <c r="J115" s="508" t="str">
        <f>IF(N("Si OR dessous = vrai, pas de box")+OR(
N("1 OR Tron ou CELL")+OR(AND(ROW(E115)&gt;=39,ROW(E115)&lt;=68),AND(ROW(E115)&gt;=99,ROW(E115)&lt;=128)),
N("2 Pas de système scanopy and range opy")+AND(ROW(E115)&gt;=219,ROW(E115)&lt;=248,SCANOPY_N_System&lt;2),
N("3 Avec LC")&amp;IF(ISERROR(LEFT(D114,SEARCH("00",D114)-3)),"",LEFT(D114,SEARCH("00",D114)-3))="LC"),"","☐ ")
&amp;
IF(N("If it's OPY, put OMount Manual instead")+
AND(ROW(D115)&gt;=219,ROW(D115)&lt;=248),
IF(SCANOPY_N_System&gt;1,
IF(SCANOPY_IndexScanner=1,"α" &amp; SCANOPY_CameraModel,SCANOPY_CameraModel_Mini) &amp; " Man",""),
IF(N("If it is Cell or Tron, Do not Show Scanner related items+No Video if LC")+OR(
AND(ROW(E115)&gt;=39,ROW(E115)&lt;=68),
AND(ROW(E115)&gt;=99,ROW(E115)&lt;=128)),
    "", IF(1=N("Si système a un scanner différent du Scanner populaire alors différent, sinon Scanner populaire")+AND(NOT(ISERROR(SEARCH("System",D114))),LEFT(D114,2)&lt;&gt;LEFT(PROD_MostPopularScanner,2)),
LEFT(D114,SEARCH("00",D114)-3),
PROD_MostPopularScanner) &amp; " Install Man"))</f>
        <v/>
      </c>
      <c r="K115" s="507" t="str">
        <f>IF(N("If it is Cell or Tron or OPY, Do not Show Twain")+OR(AND(ROW(K115)&gt;=39,ROW(K115)&lt;=68),AND(ROW(K115)&gt;=99,ROW(K115)&lt;=128),AND(ROW(J115)&gt;=219,ROW(J115)&lt;=248)),"","☐ TWAIN")</f>
        <v/>
      </c>
      <c r="L115" s="508" t="str">
        <f>IF(N("Si OR dessous = vrai, pas de box")+OR(
N("1 OR Dendro+CELL, Tron+Folia,Cam")+OR(
AND(ROW(K115)&gt;=9,ROW(K115)&lt;=68),
AND(ROW(K115)&gt;=99,ROW(K115)&lt;=158),
AND(ROW(K115)&gt;=189,ROW(K115)&lt;=218)),
N("2 Pas de système scanopy and range opy")+AND(ROW(K115)&gt;=219,ROW(K115)&lt;=248,SCANOPY_N_System&lt;2),
N("3 Avec LC")&amp;IF(ISERROR(LEFT(J114,SEARCH("00",J114)-3)),"",LEFT(J114,SEARCH("00",J114)-3))="LC"),"","☐ ")
&amp;
IF(N("If it's OPY, put OMount Manual instead")+
AND(ROW(J115)&gt;=219,ROW(J115)&lt;=248),
IF(SCANOPY_N_System&gt;1,"OMount Man",""),
IF(N("If it is Dendro+CELL, Tron+Folia or Cam, Do not Show Scanner related items+No Video if LC")+OR(
AND(ROW(K115)&gt;=9,ROW(K115)&lt;=68),
AND(ROW(K115)&gt;=99,ROW(K115)&lt;=158),
AND(ROW(K115)&gt;=189,ROW(K115)&lt;=218),
IF(ISERROR(LEFT(J114,SEARCH("00",J114)-3)),"",LEFT(J114,SEARCH("00",J114)-3))="LC"),
    "", "Video " &amp; IF(1=N("Si système a un scanner différent du Scanner populaire alors différent, sinon Scanner populaire")+AND(NOT(ISERROR(SEARCH("System",J114))),LEFT(J114,2)&lt;&gt;LEFT(PROD_MostPopularScanner,2)),
LEFT(J114,SEARCH("00",J114)-3),
PROD_MostPopularScanner) &amp; " Install"))</f>
        <v/>
      </c>
      <c r="M115" s="507" t="str">
        <f>IF(N("If it is Dendro or Tron, Do not Show Color Analysis Video")+
OR(AND(ROW(L115)&gt;=9,ROW(L115)&lt;=38),
AND(ROW(L115)&gt;=99,ROW(L115)&lt;=128)), "","☐ Video ClrAna")</f>
        <v/>
      </c>
      <c r="N115" s="508" t="str">
        <f>IF(OR(INT((ROW(D115)-10)/30)+1=2,INT((ROW(D115)-10)/30)+1=4),"","☐ ")&amp;
IF(INT((ROW(D115)-10)/30)+1=1,"Scanner.cal","")&amp;
IF(INT((ROW(D115)-10)/30)+1=2,"","")&amp;
IF(INT((ROW(D115)-10)/30)+1=3,"Scanner.cal","")&amp;
IF(INT((ROW(D115)-10)/30)+1=4,"","")&amp;
IF(INT((ROW(D115)-10)/30)+1=5,"Scanner.cal","")&amp;
IF(INT((ROW(D115)-10)/30)+1=6,"Scanner.cal","")&amp;
IF(INT((ROW(D115)-10)/30)+1=7,"Scanner.cal","")&amp;
IF(INT((ROW(D115)-10)/30)+1=8,IF(SCANOPY_Camera, "Indiv", "Gen")&amp; " Lens.cal","")</f>
        <v/>
      </c>
      <c r="O115" s="395" t="str">
        <f>IF(AND(ROW(L115)&gt;=9,ROW(L115)&lt;=38),"☐ RegentTarget.blu","")</f>
        <v/>
      </c>
      <c r="P115" s="302"/>
      <c r="Q115" s="302"/>
    </row>
    <row r="116" spans="1:17" ht="24" customHeight="1" x14ac:dyDescent="0.2">
      <c r="A116" s="563" t="s">
        <v>269</v>
      </c>
      <c r="B116" s="311" t="s">
        <v>269</v>
      </c>
      <c r="C116" s="395" t="s">
        <v>159</v>
      </c>
      <c r="D116" s="395" t="str">
        <f xml:space="preserve"> IF(N("If it is Cam, Do not Show XL")+AND(ROW(D116)&gt;=189,ROW(D116)&lt;=218),"","☐ XL Man")</f>
        <v>☐ XL Man</v>
      </c>
      <c r="E116" s="570" t="str">
        <f>IF(N("Si OR dessous = vrai, pas de box")+OR(
N("1 OR Tron ou CELL")+OR(AND(ROW(K115)&gt;=39,ROW(K115)&lt;=68),AND(ROW(K115)&gt;=99,ROW(K115)&lt;=128)),
N("2 Pas de système scanopy and range opy")+AND(ROW(K115)&gt;=219,ROW(K115)&lt;=248,SCANOPY_N_System&lt;2),
N("3 Avec LC")&amp;IF(ISERROR(LEFT(J114,SEARCH("00",J114)-3)),"",LEFT(J114,SEARCH("00",J114)-3))="LC"),"","☐ ")
&amp;
IF(N("If it's OPY, put OMount Manual instead")+
AND(ROW(J115)&gt;=219,ROW(J115)&lt;=248),
IF(SCANOPY_N_System&gt;1,"OMount Man",""),
IF(N("If it is Cell or Tron, Do not Show Scanner related items")+OR(
AND(ROW(K115)&gt;=39,ROW(K115)&lt;=68),
AND(ROW(K115)&gt;=99,ROW(K115)&lt;=128)),
    "", IF(1=N("Si système a un scanner différent du Scanner populaire alors différent, sinon Scanner populaire")+AND(NOT(ISERROR(SEARCH("System",J114))),LEFT(J114,2)&lt;&gt;LEFT(PROD_MostPopularScanner,2)),
LEFT(J114,SEARCH("00",J114)-3),
PROD_MostPopularScanner) &amp; " Install Man"))</f>
        <v/>
      </c>
      <c r="F116" s="509" t="s">
        <v>285</v>
      </c>
      <c r="G116" s="395" t="s">
        <v>284</v>
      </c>
      <c r="H116" s="572" t="s">
        <v>260</v>
      </c>
      <c r="I116" s="510"/>
      <c r="J116" s="395" t="s">
        <v>160</v>
      </c>
      <c r="K116" s="353"/>
      <c r="L116" s="572" t="s">
        <v>734</v>
      </c>
      <c r="M116" s="395"/>
      <c r="N116" s="509"/>
      <c r="O116" s="395"/>
      <c r="P116" s="302"/>
      <c r="Q116" s="302"/>
    </row>
    <row r="117" spans="1:17" ht="16.25" customHeight="1" x14ac:dyDescent="0.2">
      <c r="A117" s="551"/>
      <c r="B117" s="381"/>
      <c r="C117"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17" s="841"/>
      <c r="E117" s="389"/>
      <c r="F117" s="389"/>
      <c r="G117" s="360" t="str">
        <f>IF(RHIZOTRON_OptionXL*(RHIZOTRON_N_Software+RHIZOTRON_N_UpgradeUpdate-2)&gt;=((ROW(G117)-ROW($G$99))/4+1),"XLRHIZOTRON "&amp; RHIZOTRON_YearMostRecent,"")</f>
        <v/>
      </c>
      <c r="H117" s="343"/>
      <c r="I117" s="343"/>
      <c r="J117" s="360" t="str">
        <f>IF(RHIZOTRON_N_Software-1&gt;((ROW(G117)-ROW($G$99))/4+1),IF(N_SystemTotal=0,"Software Only",IF(N_STDScanners+N_LAScanners+N_LCScanners=0,"Software Sans Scanner","Software Avec Scanner")),
IF(RHIZOTRON_N_UpgradeUpdate-1&gt;=((ROW(G117)-ROW($G$99))/4+1)-(RHIZOTRON_N_Software-1),"Update",""))</f>
        <v/>
      </c>
      <c r="K117" s="343"/>
      <c r="L117" s="342"/>
      <c r="M117" s="342"/>
      <c r="N117" s="342"/>
      <c r="O117" s="302"/>
      <c r="P117" s="302"/>
      <c r="Q117" s="302"/>
    </row>
    <row r="118" spans="1:17" ht="24" customHeight="1" x14ac:dyDescent="0.2">
      <c r="A118" s="563" t="s">
        <v>268</v>
      </c>
      <c r="B118" s="375" t="s">
        <v>268</v>
      </c>
      <c r="C118" s="507" t="str">
        <f>"☐☐ Win" &amp;
IF(INT((ROW(D118)-10)/30)+1=1,"DEN","")&amp;
IF(INT((ROW(D118)-10)/30)+1=2,"CEL","")&amp;
IF(INT((ROW(D118)-10)/30)+1=3,"RHI","")&amp;
IF(INT((ROW(D118)-10)/30)+1=4,"RT","")&amp;
IF(INT((ROW(D118)-10)/30)+1=5,"FOL","")&amp;
IF(INT((ROW(D118)-10)/30)+1=6,"SEE","")&amp;
IF(INT((ROW(D118)-10)/30)+1=7,"CAM","")&amp;
IF(INT((ROW(D118)-10)/30)+1=8,"SCA","") &amp; ".exe"</f>
        <v>☐☐ WinRT.exe</v>
      </c>
      <c r="D118" s="507" t="str">
        <f xml:space="preserve"> IF(N("If it is Cam, Do not Show XL")+AND(ROW(D118)&gt;=189,ROW(D118)&lt;=218),"","☐ XL" &amp;
IF(INT((ROW(D118)-10)/30)+1=1,"STEM","")&amp;
IF(INT((ROW(D118)-10)/30)+1=2,"Cell","")&amp;
IF(INT((ROW(D118)-10)/30)+1=3,"Rhizo","")&amp;
IF(INT((ROW(D118)-10)/30)+1=4,"RhizoT","")&amp;
IF(INT((ROW(D118)-10)/30)+1=5,"Folia","")&amp;
IF(INT((ROW(D118)-10)/30)+1=6,"Seedle","")&amp;
IF(INT((ROW(D118)-10)/30)+1=7,"Cam","")&amp;
IF(INT((ROW(D118)-10)/30)+1=8,"Scanopy","") &amp; ".xls")</f>
        <v>☐ XLRhizoT.xls</v>
      </c>
      <c r="E118" s="507" t="s">
        <v>309</v>
      </c>
      <c r="F118" s="508" t="s">
        <v>159</v>
      </c>
      <c r="G118" s="507" t="str">
        <f xml:space="preserve"> IF(N("If it is Cam, Do not Show XL")+AND(ROW(G118)&gt;=189,ROW(G118)&lt;=218),"","☐ XL Man")</f>
        <v>☐ XL Man</v>
      </c>
      <c r="H118" s="508" t="s">
        <v>290</v>
      </c>
      <c r="I118" s="395" t="s">
        <v>284</v>
      </c>
      <c r="J118" s="508" t="str">
        <f>IF(N("Si OR dessous = vrai, pas de box")+OR(
N("1 OR Tron ou CELL")+OR(AND(ROW(E118)&gt;=39,ROW(E118)&lt;=68),AND(ROW(E118)&gt;=99,ROW(E118)&lt;=128)),
N("2 Pas de système scanopy and range opy")+AND(ROW(E118)&gt;=219,ROW(E118)&lt;=248,SCANOPY_N_System&lt;2),
N("3 Avec LC")&amp;IF(ISERROR(LEFT(D117,SEARCH("00",D117)-3)),"",LEFT(D117,SEARCH("00",D117)-3))="LC"),"","☐ ")
&amp;
IF(N("If it's OPY, put OMount Manual instead")+
AND(ROW(D118)&gt;=219,ROW(D118)&lt;=248),
IF(SCANOPY_N_System&gt;1,
IF(SCANOPY_IndexScanner=1,"α" &amp; SCANOPY_CameraModel,SCANOPY_CameraModel_Mini) &amp; " Man",""),
IF(N("If it is Cell or Tron, Do not Show Scanner related items+No Video if LC")+OR(
AND(ROW(E118)&gt;=39,ROW(E118)&lt;=68),
AND(ROW(E118)&gt;=99,ROW(E118)&lt;=128)),
    "", IF(1=N("Si système a un scanner différent du Scanner populaire alors différent, sinon Scanner populaire")+AND(NOT(ISERROR(SEARCH("System",D117))),LEFT(D117,2)&lt;&gt;LEFT(PROD_MostPopularScanner,2)),
LEFT(D117,SEARCH("00",D117)-3),
PROD_MostPopularScanner) &amp; " Install Man"))</f>
        <v/>
      </c>
      <c r="K118" s="507" t="str">
        <f>IF(N("If it is Cell or Tron or OPY, Do not Show Twain")+OR(AND(ROW(K118)&gt;=39,ROW(K118)&lt;=68),AND(ROW(K118)&gt;=99,ROW(K118)&lt;=128),AND(ROW(J118)&gt;=219,ROW(J118)&lt;=248)),"","☐ TWAIN")</f>
        <v/>
      </c>
      <c r="L118" s="508" t="str">
        <f>IF(N("Si OR dessous = vrai, pas de box")+OR(
N("1 OR Dendro+CELL, Tron+Folia,Cam")+OR(
AND(ROW(K118)&gt;=9,ROW(K118)&lt;=68),
AND(ROW(K118)&gt;=99,ROW(K118)&lt;=158),
AND(ROW(K118)&gt;=189,ROW(K118)&lt;=218)),
N("2 Pas de système scanopy and range opy")+AND(ROW(K118)&gt;=219,ROW(K118)&lt;=248,SCANOPY_N_System&lt;2),
N("3 Avec LC")&amp;IF(ISERROR(LEFT(J117,SEARCH("00",J117)-3)),"",LEFT(J117,SEARCH("00",J117)-3))="LC"),"","☐ ")
&amp;
IF(N("If it's OPY, put OMount Manual instead")+
AND(ROW(J118)&gt;=219,ROW(J118)&lt;=248),
IF(SCANOPY_N_System&gt;1,"OMount Man",""),
IF(N("If it is Dendro+CELL, Tron+Folia or Cam, Do not Show Scanner related items+No Video if LC")+OR(
AND(ROW(K118)&gt;=9,ROW(K118)&lt;=68),
AND(ROW(K118)&gt;=99,ROW(K118)&lt;=158),
AND(ROW(K118)&gt;=189,ROW(K118)&lt;=218),
IF(ISERROR(LEFT(J117,SEARCH("00",J117)-3)),"",LEFT(J117,SEARCH("00",J117)-3))="LC"),
    "", "Video " &amp; IF(1=N("Si système a un scanner différent du Scanner populaire alors différent, sinon Scanner populaire")+AND(NOT(ISERROR(SEARCH("System",J117))),LEFT(J117,2)&lt;&gt;LEFT(PROD_MostPopularScanner,2)),
LEFT(J117,SEARCH("00",J117)-3),
PROD_MostPopularScanner) &amp; " Install"))</f>
        <v/>
      </c>
      <c r="M118" s="507" t="str">
        <f>IF(N("If it is Dendro or Tron, Do not Show Color Analysis Video")+
OR(AND(ROW(L118)&gt;=9,ROW(L118)&lt;=38),
AND(ROW(L118)&gt;=99,ROW(L118)&lt;=128)), "","☐ Video ClrAna")</f>
        <v/>
      </c>
      <c r="N118" s="508" t="str">
        <f>IF(OR(INT((ROW(D118)-10)/30)+1=2,INT((ROW(D118)-10)/30)+1=4),"","☐ ")&amp;
IF(INT((ROW(D118)-10)/30)+1=1,"Scanner.cal","")&amp;
IF(INT((ROW(D118)-10)/30)+1=2,"","")&amp;
IF(INT((ROW(D118)-10)/30)+1=3,"Scanner.cal","")&amp;
IF(INT((ROW(D118)-10)/30)+1=4,"","")&amp;
IF(INT((ROW(D118)-10)/30)+1=5,"Scanner.cal","")&amp;
IF(INT((ROW(D118)-10)/30)+1=6,"Scanner.cal","")&amp;
IF(INT((ROW(D118)-10)/30)+1=7,"Scanner.cal","")&amp;
IF(INT((ROW(D118)-10)/30)+1=8,IF(SCANOPY_Camera, "Indiv", "Gen")&amp; " Lens.cal","")</f>
        <v/>
      </c>
      <c r="O118" s="395" t="str">
        <f>IF(AND(ROW(L118)&gt;=9,ROW(L118)&lt;=38),"☐ RegentTarget.blu","")</f>
        <v/>
      </c>
      <c r="P118" s="302"/>
      <c r="Q118" s="302"/>
    </row>
    <row r="119" spans="1:17" ht="24" customHeight="1" x14ac:dyDescent="0.2">
      <c r="A119" s="563" t="s">
        <v>269</v>
      </c>
      <c r="B119" s="311" t="s">
        <v>269</v>
      </c>
      <c r="C119" s="395" t="s">
        <v>159</v>
      </c>
      <c r="D119" s="395" t="str">
        <f xml:space="preserve"> IF(N("If it is Cam, Do not Show XL")+AND(ROW(D119)&gt;=189,ROW(D119)&lt;=218),"","☐ XL Man")</f>
        <v>☐ XL Man</v>
      </c>
      <c r="E119" s="570" t="str">
        <f>IF(N("Si OR dessous = vrai, pas de box")+OR(
N("1 OR Tron ou CELL")+OR(AND(ROW(K118)&gt;=39,ROW(K118)&lt;=68),AND(ROW(K118)&gt;=99,ROW(K118)&lt;=128)),
N("2 Pas de système scanopy and range opy")+AND(ROW(K118)&gt;=219,ROW(K118)&lt;=248,SCANOPY_N_System&lt;2),
N("3 Avec LC")&amp;IF(ISERROR(LEFT(J117,SEARCH("00",J117)-3)),"",LEFT(J117,SEARCH("00",J117)-3))="LC"),"","☐ ")
&amp;
IF(N("If it's OPY, put OMount Manual instead")+
AND(ROW(J118)&gt;=219,ROW(J118)&lt;=248),
IF(SCANOPY_N_System&gt;1,"OMount Man",""),
IF(N("If it is Cell or Tron, Do not Show Scanner related items")+OR(
AND(ROW(K118)&gt;=39,ROW(K118)&lt;=68),
AND(ROW(K118)&gt;=99,ROW(K118)&lt;=128)),
    "", IF(1=N("Si système a un scanner différent du Scanner populaire alors différent, sinon Scanner populaire")+AND(NOT(ISERROR(SEARCH("System",J117))),LEFT(J117,2)&lt;&gt;LEFT(PROD_MostPopularScanner,2)),
LEFT(J117,SEARCH("00",J117)-3),
PROD_MostPopularScanner) &amp; " Install Man"))</f>
        <v/>
      </c>
      <c r="F119" s="509" t="s">
        <v>285</v>
      </c>
      <c r="G119" s="395" t="s">
        <v>284</v>
      </c>
      <c r="H119" s="572" t="s">
        <v>260</v>
      </c>
      <c r="I119" s="510"/>
      <c r="J119" s="395" t="s">
        <v>160</v>
      </c>
      <c r="K119" s="353"/>
      <c r="L119" s="572" t="s">
        <v>734</v>
      </c>
      <c r="M119" s="395"/>
      <c r="N119" s="509"/>
      <c r="O119" s="395"/>
      <c r="P119" s="302"/>
      <c r="Q119" s="302"/>
    </row>
    <row r="120" spans="1:17" ht="16.25" customHeight="1" x14ac:dyDescent="0.2">
      <c r="A120" s="551"/>
      <c r="B120" s="381"/>
      <c r="C120"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0" s="841"/>
      <c r="E120" s="389"/>
      <c r="F120" s="389"/>
      <c r="G120" s="360" t="str">
        <f>IF(RHIZOTRON_OptionXL*(RHIZOTRON_N_Software+RHIZOTRON_N_UpgradeUpdate-2)&gt;=((ROW(G120)-ROW($G$99))/4+1),"XLRHIZOTRON "&amp; RHIZOTRON_YearMostRecent,"")</f>
        <v/>
      </c>
      <c r="H120" s="343"/>
      <c r="I120" s="343"/>
      <c r="J120" s="360" t="str">
        <f>IF(RHIZOTRON_N_Software-1&gt;((ROW(G120)-ROW($G$99))/4+1),IF(N_SystemTotal=0,"Software Only",IF(N_STDScanners+N_LAScanners+N_LCScanners=0,"Software Sans Scanner","Software Avec Scanner")),
IF(RHIZOTRON_N_UpgradeUpdate-1&gt;=((ROW(G120)-ROW($G$99))/4+1)-(RHIZOTRON_N_Software-1),"Update",""))</f>
        <v/>
      </c>
      <c r="K120" s="343"/>
      <c r="L120" s="342"/>
      <c r="M120" s="342"/>
      <c r="N120" s="342"/>
      <c r="O120" s="302"/>
      <c r="P120" s="302"/>
      <c r="Q120" s="302"/>
    </row>
    <row r="121" spans="1:17" ht="24" customHeight="1" x14ac:dyDescent="0.2">
      <c r="A121" s="563" t="s">
        <v>268</v>
      </c>
      <c r="B121" s="375" t="s">
        <v>268</v>
      </c>
      <c r="C121" s="507" t="str">
        <f>"☐☐ Win" &amp;
IF(INT((ROW(D121)-10)/30)+1=1,"DEN","")&amp;
IF(INT((ROW(D121)-10)/30)+1=2,"CEL","")&amp;
IF(INT((ROW(D121)-10)/30)+1=3,"RHI","")&amp;
IF(INT((ROW(D121)-10)/30)+1=4,"RT","")&amp;
IF(INT((ROW(D121)-10)/30)+1=5,"FOL","")&amp;
IF(INT((ROW(D121)-10)/30)+1=6,"SEE","")&amp;
IF(INT((ROW(D121)-10)/30)+1=7,"CAM","")&amp;
IF(INT((ROW(D121)-10)/30)+1=8,"SCA","") &amp; ".exe"</f>
        <v>☐☐ WinRT.exe</v>
      </c>
      <c r="D121" s="507" t="str">
        <f xml:space="preserve"> IF(N("If it is Cam, Do not Show XL")+AND(ROW(D121)&gt;=189,ROW(D121)&lt;=218),"","☐ XL" &amp;
IF(INT((ROW(D121)-10)/30)+1=1,"STEM","")&amp;
IF(INT((ROW(D121)-10)/30)+1=2,"Cell","")&amp;
IF(INT((ROW(D121)-10)/30)+1=3,"Rhizo","")&amp;
IF(INT((ROW(D121)-10)/30)+1=4,"RhizoT","")&amp;
IF(INT((ROW(D121)-10)/30)+1=5,"Folia","")&amp;
IF(INT((ROW(D121)-10)/30)+1=6,"Seedle","")&amp;
IF(INT((ROW(D121)-10)/30)+1=7,"Cam","")&amp;
IF(INT((ROW(D121)-10)/30)+1=8,"Scanopy","") &amp; ".xls")</f>
        <v>☐ XLRhizoT.xls</v>
      </c>
      <c r="E121" s="507" t="s">
        <v>309</v>
      </c>
      <c r="F121" s="508" t="s">
        <v>159</v>
      </c>
      <c r="G121" s="507" t="str">
        <f xml:space="preserve"> IF(N("If it is Cam, Do not Show XL")+AND(ROW(G121)&gt;=189,ROW(G121)&lt;=218),"","☐ XL Man")</f>
        <v>☐ XL Man</v>
      </c>
      <c r="H121" s="508" t="s">
        <v>290</v>
      </c>
      <c r="I121" s="395" t="s">
        <v>284</v>
      </c>
      <c r="J121" s="508" t="str">
        <f>IF(N("Si OR dessous = vrai, pas de box")+OR(
N("1 OR Tron ou CELL")+OR(AND(ROW(E121)&gt;=39,ROW(E121)&lt;=68),AND(ROW(E121)&gt;=99,ROW(E121)&lt;=128)),
N("2 Pas de système scanopy and range opy")+AND(ROW(E121)&gt;=219,ROW(E121)&lt;=248,SCANOPY_N_System&lt;2),
N("3 Avec LC")&amp;IF(ISERROR(LEFT(D120,SEARCH("00",D120)-3)),"",LEFT(D120,SEARCH("00",D120)-3))="LC"),"","☐ ")
&amp;
IF(N("If it's OPY, put OMount Manual instead")+
AND(ROW(D121)&gt;=219,ROW(D121)&lt;=248),
IF(SCANOPY_N_System&gt;1,
IF(SCANOPY_IndexScanner=1,"α" &amp; SCANOPY_CameraModel,SCANOPY_CameraModel_Mini) &amp; " Man",""),
IF(N("If it is Cell or Tron, Do not Show Scanner related items+No Video if LC")+OR(
AND(ROW(E121)&gt;=39,ROW(E121)&lt;=68),
AND(ROW(E121)&gt;=99,ROW(E121)&lt;=128)),
    "", IF(1=N("Si système a un scanner différent du Scanner populaire alors différent, sinon Scanner populaire")+AND(NOT(ISERROR(SEARCH("System",D120))),LEFT(D120,2)&lt;&gt;LEFT(PROD_MostPopularScanner,2)),
LEFT(D120,SEARCH("00",D120)-3),
PROD_MostPopularScanner) &amp; " Install Man"))</f>
        <v/>
      </c>
      <c r="K121" s="507" t="str">
        <f>IF(N("If it is Cell or Tron or OPY, Do not Show Twain")+OR(AND(ROW(K121)&gt;=39,ROW(K121)&lt;=68),AND(ROW(K121)&gt;=99,ROW(K121)&lt;=128),AND(ROW(J121)&gt;=219,ROW(J121)&lt;=248)),"","☐ TWAIN")</f>
        <v/>
      </c>
      <c r="L121" s="508" t="str">
        <f>IF(N("Si OR dessous = vrai, pas de box")+OR(
N("1 OR Dendro+CELL, Tron+Folia,Cam")+OR(
AND(ROW(K121)&gt;=9,ROW(K121)&lt;=68),
AND(ROW(K121)&gt;=99,ROW(K121)&lt;=158),
AND(ROW(K121)&gt;=189,ROW(K121)&lt;=218)),
N("2 Pas de système scanopy and range opy")+AND(ROW(K121)&gt;=219,ROW(K121)&lt;=248,SCANOPY_N_System&lt;2),
N("3 Avec LC")&amp;IF(ISERROR(LEFT(J120,SEARCH("00",J120)-3)),"",LEFT(J120,SEARCH("00",J120)-3))="LC"),"","☐ ")
&amp;
IF(N("If it's OPY, put OMount Manual instead")+
AND(ROW(J121)&gt;=219,ROW(J121)&lt;=248),
IF(SCANOPY_N_System&gt;1,"OMount Man",""),
IF(N("If it is Dendro+CELL, Tron+Folia or Cam, Do not Show Scanner related items+No Video if LC")+OR(
AND(ROW(K121)&gt;=9,ROW(K121)&lt;=68),
AND(ROW(K121)&gt;=99,ROW(K121)&lt;=158),
AND(ROW(K121)&gt;=189,ROW(K121)&lt;=218),
IF(ISERROR(LEFT(J120,SEARCH("00",J120)-3)),"",LEFT(J120,SEARCH("00",J120)-3))="LC"),
    "", "Video " &amp; IF(1=N("Si système a un scanner différent du Scanner populaire alors différent, sinon Scanner populaire")+AND(NOT(ISERROR(SEARCH("System",J120))),LEFT(J120,2)&lt;&gt;LEFT(PROD_MostPopularScanner,2)),
LEFT(J120,SEARCH("00",J120)-3),
PROD_MostPopularScanner) &amp; " Install"))</f>
        <v/>
      </c>
      <c r="M121" s="507" t="str">
        <f>IF(N("If it is Dendro or Tron, Do not Show Color Analysis Video")+
OR(AND(ROW(L121)&gt;=9,ROW(L121)&lt;=38),
AND(ROW(L121)&gt;=99,ROW(L121)&lt;=128)), "","☐ Video ClrAna")</f>
        <v/>
      </c>
      <c r="N121" s="508" t="str">
        <f>IF(OR(INT((ROW(D121)-10)/30)+1=2,INT((ROW(D121)-10)/30)+1=4),"","☐ ")&amp;
IF(INT((ROW(D121)-10)/30)+1=1,"Scanner.cal","")&amp;
IF(INT((ROW(D121)-10)/30)+1=2,"","")&amp;
IF(INT((ROW(D121)-10)/30)+1=3,"Scanner.cal","")&amp;
IF(INT((ROW(D121)-10)/30)+1=4,"","")&amp;
IF(INT((ROW(D121)-10)/30)+1=5,"Scanner.cal","")&amp;
IF(INT((ROW(D121)-10)/30)+1=6,"Scanner.cal","")&amp;
IF(INT((ROW(D121)-10)/30)+1=7,"Scanner.cal","")&amp;
IF(INT((ROW(D121)-10)/30)+1=8,IF(SCANOPY_Camera, "Indiv", "Gen")&amp; " Lens.cal","")</f>
        <v/>
      </c>
      <c r="O121" s="395" t="str">
        <f>IF(AND(ROW(L121)&gt;=9,ROW(L121)&lt;=38),"☐ RegentTarget.blu","")</f>
        <v/>
      </c>
      <c r="P121" s="302"/>
      <c r="Q121" s="302"/>
    </row>
    <row r="122" spans="1:17" ht="24" customHeight="1" x14ac:dyDescent="0.2">
      <c r="A122" s="563" t="s">
        <v>269</v>
      </c>
      <c r="B122" s="311" t="s">
        <v>269</v>
      </c>
      <c r="C122" s="395" t="s">
        <v>159</v>
      </c>
      <c r="D122" s="395" t="str">
        <f xml:space="preserve"> IF(N("If it is Cam, Do not Show XL")+AND(ROW(D122)&gt;=189,ROW(D122)&lt;=218),"","☐ XL Man")</f>
        <v>☐ XL Man</v>
      </c>
      <c r="E122" s="570" t="str">
        <f>IF(N("Si OR dessous = vrai, pas de box")+OR(
N("1 OR Tron ou CELL")+OR(AND(ROW(K121)&gt;=39,ROW(K121)&lt;=68),AND(ROW(K121)&gt;=99,ROW(K121)&lt;=128)),
N("2 Pas de système scanopy and range opy")+AND(ROW(K121)&gt;=219,ROW(K121)&lt;=248,SCANOPY_N_System&lt;2),
N("3 Avec LC")&amp;IF(ISERROR(LEFT(J120,SEARCH("00",J120)-3)),"",LEFT(J120,SEARCH("00",J120)-3))="LC"),"","☐ ")
&amp;
IF(N("If it's OPY, put OMount Manual instead")+
AND(ROW(J121)&gt;=219,ROW(J121)&lt;=248),
IF(SCANOPY_N_System&gt;1,"OMount Man",""),
IF(N("If it is Cell or Tron, Do not Show Scanner related items")+OR(
AND(ROW(K121)&gt;=39,ROW(K121)&lt;=68),
AND(ROW(K121)&gt;=99,ROW(K121)&lt;=128)),
    "", IF(1=N("Si système a un scanner différent du Scanner populaire alors différent, sinon Scanner populaire")+AND(NOT(ISERROR(SEARCH("System",J120))),LEFT(J120,2)&lt;&gt;LEFT(PROD_MostPopularScanner,2)),
LEFT(J120,SEARCH("00",J120)-3),
PROD_MostPopularScanner) &amp; " Install Man"))</f>
        <v/>
      </c>
      <c r="F122" s="509" t="s">
        <v>285</v>
      </c>
      <c r="G122" s="395" t="s">
        <v>284</v>
      </c>
      <c r="H122" s="572" t="s">
        <v>260</v>
      </c>
      <c r="I122" s="510"/>
      <c r="J122" s="395" t="s">
        <v>160</v>
      </c>
      <c r="K122" s="353"/>
      <c r="L122" s="572" t="s">
        <v>734</v>
      </c>
      <c r="M122" s="395"/>
      <c r="N122" s="509"/>
      <c r="O122" s="395"/>
      <c r="P122" s="302"/>
      <c r="Q122" s="302"/>
    </row>
    <row r="123" spans="1:17" ht="16.25" customHeight="1" x14ac:dyDescent="0.2">
      <c r="A123" s="551"/>
      <c r="B123" s="381"/>
      <c r="C123"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3" s="841"/>
      <c r="E123" s="389"/>
      <c r="F123" s="389"/>
      <c r="G123" s="360" t="str">
        <f>IF(RHIZOTRON_OptionXL*(RHIZOTRON_N_Software+RHIZOTRON_N_UpgradeUpdate-2)&gt;=((ROW(G123)-ROW($G$99))/4+1),"XLRHIZOTRON "&amp; RHIZOTRON_YearMostRecent,"")</f>
        <v/>
      </c>
      <c r="H123" s="343"/>
      <c r="I123" s="343"/>
      <c r="J123" s="360" t="str">
        <f>IF(RHIZOTRON_N_Software-1&gt;((ROW(G123)-ROW($G$99))/4+1),IF(N_SystemTotal=0,"Software Only",IF(N_STDScanners+N_LAScanners+N_LCScanners=0,"Software Sans Scanner","Software Avec Scanner")),
IF(RHIZOTRON_N_UpgradeUpdate-1&gt;=((ROW(G123)-ROW($G$99))/4+1)-(RHIZOTRON_N_Software-1),"Update",""))</f>
        <v/>
      </c>
      <c r="K123" s="343"/>
      <c r="L123" s="342"/>
      <c r="M123" s="342"/>
      <c r="N123" s="342"/>
      <c r="O123" s="302"/>
      <c r="P123" s="302"/>
      <c r="Q123" s="302"/>
    </row>
    <row r="124" spans="1:17" ht="24" customHeight="1" x14ac:dyDescent="0.2">
      <c r="A124" s="563" t="s">
        <v>268</v>
      </c>
      <c r="B124" s="375" t="s">
        <v>268</v>
      </c>
      <c r="C124" s="507" t="str">
        <f>"☐☐ Win" &amp;
IF(INT((ROW(D124)-10)/30)+1=1,"DEN","")&amp;
IF(INT((ROW(D124)-10)/30)+1=2,"CEL","")&amp;
IF(INT((ROW(D124)-10)/30)+1=3,"RHI","")&amp;
IF(INT((ROW(D124)-10)/30)+1=4,"RT","")&amp;
IF(INT((ROW(D124)-10)/30)+1=5,"FOL","")&amp;
IF(INT((ROW(D124)-10)/30)+1=6,"SEE","")&amp;
IF(INT((ROW(D124)-10)/30)+1=7,"CAM","")&amp;
IF(INT((ROW(D124)-10)/30)+1=8,"SCA","") &amp; ".exe"</f>
        <v>☐☐ WinRT.exe</v>
      </c>
      <c r="D124" s="507" t="str">
        <f xml:space="preserve"> IF(N("If it is Cam, Do not Show XL")+AND(ROW(D124)&gt;=189,ROW(D124)&lt;=218),"","☐ XL" &amp;
IF(INT((ROW(D124)-10)/30)+1=1,"STEM","")&amp;
IF(INT((ROW(D124)-10)/30)+1=2,"Cell","")&amp;
IF(INT((ROW(D124)-10)/30)+1=3,"Rhizo","")&amp;
IF(INT((ROW(D124)-10)/30)+1=4,"RhizoT","")&amp;
IF(INT((ROW(D124)-10)/30)+1=5,"Folia","")&amp;
IF(INT((ROW(D124)-10)/30)+1=6,"Seedle","")&amp;
IF(INT((ROW(D124)-10)/30)+1=7,"Cam","")&amp;
IF(INT((ROW(D124)-10)/30)+1=8,"Scanopy","") &amp; ".xls")</f>
        <v>☐ XLRhizoT.xls</v>
      </c>
      <c r="E124" s="507" t="s">
        <v>309</v>
      </c>
      <c r="F124" s="508" t="s">
        <v>159</v>
      </c>
      <c r="G124" s="507" t="str">
        <f xml:space="preserve"> IF(N("If it is Cam, Do not Show XL")+AND(ROW(G124)&gt;=189,ROW(G124)&lt;=218),"","☐ XL Man")</f>
        <v>☐ XL Man</v>
      </c>
      <c r="H124" s="508" t="s">
        <v>290</v>
      </c>
      <c r="I124" s="395" t="s">
        <v>284</v>
      </c>
      <c r="J124" s="508" t="str">
        <f>IF(N("Si OR dessous = vrai, pas de box")+OR(
N("1 OR Tron ou CELL")+OR(AND(ROW(E124)&gt;=39,ROW(E124)&lt;=68),AND(ROW(E124)&gt;=99,ROW(E124)&lt;=128)),
N("2 Pas de système scanopy and range opy")+AND(ROW(E124)&gt;=219,ROW(E124)&lt;=248,SCANOPY_N_System&lt;2),
N("3 Avec LC")&amp;IF(ISERROR(LEFT(D123,SEARCH("00",D123)-3)),"",LEFT(D123,SEARCH("00",D123)-3))="LC"),"","☐ ")
&amp;
IF(N("If it's OPY, put OMount Manual instead")+
AND(ROW(D124)&gt;=219,ROW(D124)&lt;=248),
IF(SCANOPY_N_System&gt;1,
IF(SCANOPY_IndexScanner=1,"α" &amp; SCANOPY_CameraModel,SCANOPY_CameraModel_Mini) &amp; " Man",""),
IF(N("If it is Cell or Tron, Do not Show Scanner related items+No Video if LC")+OR(
AND(ROW(E124)&gt;=39,ROW(E124)&lt;=68),
AND(ROW(E124)&gt;=99,ROW(E124)&lt;=128)),
    "", IF(1=N("Si système a un scanner différent du Scanner populaire alors différent, sinon Scanner populaire")+AND(NOT(ISERROR(SEARCH("System",D123))),LEFT(D123,2)&lt;&gt;LEFT(PROD_MostPopularScanner,2)),
LEFT(D123,SEARCH("00",D123)-3),
PROD_MostPopularScanner) &amp; " Install Man"))</f>
        <v/>
      </c>
      <c r="K124" s="507" t="str">
        <f>IF(N("If it is Cell or Tron or OPY, Do not Show Twain")+OR(AND(ROW(K124)&gt;=39,ROW(K124)&lt;=68),AND(ROW(K124)&gt;=99,ROW(K124)&lt;=128),AND(ROW(J124)&gt;=219,ROW(J124)&lt;=248)),"","☐ TWAIN")</f>
        <v/>
      </c>
      <c r="L124" s="508" t="str">
        <f>IF(N("Si OR dessous = vrai, pas de box")+OR(
N("1 OR Dendro+CELL, Tron+Folia,Cam")+OR(
AND(ROW(K124)&gt;=9,ROW(K124)&lt;=68),
AND(ROW(K124)&gt;=99,ROW(K124)&lt;=158),
AND(ROW(K124)&gt;=189,ROW(K124)&lt;=218)),
N("2 Pas de système scanopy and range opy")+AND(ROW(K124)&gt;=219,ROW(K124)&lt;=248,SCANOPY_N_System&lt;2),
N("3 Avec LC")&amp;IF(ISERROR(LEFT(J123,SEARCH("00",J123)-3)),"",LEFT(J123,SEARCH("00",J123)-3))="LC"),"","☐ ")
&amp;
IF(N("If it's OPY, put OMount Manual instead")+
AND(ROW(J124)&gt;=219,ROW(J124)&lt;=248),
IF(SCANOPY_N_System&gt;1,"OMount Man",""),
IF(N("If it is Dendro+CELL, Tron+Folia or Cam, Do not Show Scanner related items+No Video if LC")+OR(
AND(ROW(K124)&gt;=9,ROW(K124)&lt;=68),
AND(ROW(K124)&gt;=99,ROW(K124)&lt;=158),
AND(ROW(K124)&gt;=189,ROW(K124)&lt;=218),
IF(ISERROR(LEFT(J123,SEARCH("00",J123)-3)),"",LEFT(J123,SEARCH("00",J123)-3))="LC"),
    "", "Video " &amp; IF(1=N("Si système a un scanner différent du Scanner populaire alors différent, sinon Scanner populaire")+AND(NOT(ISERROR(SEARCH("System",J123))),LEFT(J123,2)&lt;&gt;LEFT(PROD_MostPopularScanner,2)),
LEFT(J123,SEARCH("00",J123)-3),
PROD_MostPopularScanner) &amp; " Install"))</f>
        <v/>
      </c>
      <c r="M124" s="507" t="str">
        <f>IF(N("If it is Dendro or Tron, Do not Show Color Analysis Video")+
OR(AND(ROW(L124)&gt;=9,ROW(L124)&lt;=38),
AND(ROW(L124)&gt;=99,ROW(L124)&lt;=128)), "","☐ Video ClrAna")</f>
        <v/>
      </c>
      <c r="N124" s="508" t="str">
        <f>IF(OR(INT((ROW(D124)-10)/30)+1=2,INT((ROW(D124)-10)/30)+1=4),"","☐ ")&amp;
IF(INT((ROW(D124)-10)/30)+1=1,"Scanner.cal","")&amp;
IF(INT((ROW(D124)-10)/30)+1=2,"","")&amp;
IF(INT((ROW(D124)-10)/30)+1=3,"Scanner.cal","")&amp;
IF(INT((ROW(D124)-10)/30)+1=4,"","")&amp;
IF(INT((ROW(D124)-10)/30)+1=5,"Scanner.cal","")&amp;
IF(INT((ROW(D124)-10)/30)+1=6,"Scanner.cal","")&amp;
IF(INT((ROW(D124)-10)/30)+1=7,"Scanner.cal","")&amp;
IF(INT((ROW(D124)-10)/30)+1=8,IF(SCANOPY_Camera, "Indiv", "Gen")&amp; " Lens.cal","")</f>
        <v/>
      </c>
      <c r="O124" s="395" t="str">
        <f>IF(AND(ROW(L124)&gt;=9,ROW(L124)&lt;=38),"☐ RegentTarget.blu","")</f>
        <v/>
      </c>
      <c r="P124" s="302"/>
      <c r="Q124" s="302"/>
    </row>
    <row r="125" spans="1:17" ht="24" customHeight="1" x14ac:dyDescent="0.2">
      <c r="A125" s="563" t="s">
        <v>269</v>
      </c>
      <c r="B125" s="311" t="s">
        <v>269</v>
      </c>
      <c r="C125" s="395" t="s">
        <v>159</v>
      </c>
      <c r="D125" s="395" t="str">
        <f xml:space="preserve"> IF(N("If it is Cam, Do not Show XL")+AND(ROW(D125)&gt;=189,ROW(D125)&lt;=218),"","☐ XL Man")</f>
        <v>☐ XL Man</v>
      </c>
      <c r="E125" s="570" t="str">
        <f>IF(N("Si OR dessous = vrai, pas de box")+OR(
N("1 OR Tron ou CELL")+OR(AND(ROW(K124)&gt;=39,ROW(K124)&lt;=68),AND(ROW(K124)&gt;=99,ROW(K124)&lt;=128)),
N("2 Pas de système scanopy and range opy")+AND(ROW(K124)&gt;=219,ROW(K124)&lt;=248,SCANOPY_N_System&lt;2),
N("3 Avec LC")&amp;IF(ISERROR(LEFT(J123,SEARCH("00",J123)-3)),"",LEFT(J123,SEARCH("00",J123)-3))="LC"),"","☐ ")
&amp;
IF(N("If it's OPY, put OMount Manual instead")+
AND(ROW(J124)&gt;=219,ROW(J124)&lt;=248),
IF(SCANOPY_N_System&gt;1,"OMount Man",""),
IF(N("If it is Cell or Tron, Do not Show Scanner related items")+OR(
AND(ROW(K124)&gt;=39,ROW(K124)&lt;=68),
AND(ROW(K124)&gt;=99,ROW(K124)&lt;=128)),
    "", IF(1=N("Si système a un scanner différent du Scanner populaire alors différent, sinon Scanner populaire")+AND(NOT(ISERROR(SEARCH("System",J123))),LEFT(J123,2)&lt;&gt;LEFT(PROD_MostPopularScanner,2)),
LEFT(J123,SEARCH("00",J123)-3),
PROD_MostPopularScanner) &amp; " Install Man"))</f>
        <v/>
      </c>
      <c r="F125" s="509" t="s">
        <v>285</v>
      </c>
      <c r="G125" s="395" t="s">
        <v>284</v>
      </c>
      <c r="H125" s="572" t="s">
        <v>260</v>
      </c>
      <c r="I125" s="510"/>
      <c r="J125" s="395" t="s">
        <v>160</v>
      </c>
      <c r="K125" s="353"/>
      <c r="L125" s="572" t="s">
        <v>734</v>
      </c>
      <c r="M125" s="395"/>
      <c r="N125" s="509"/>
      <c r="O125" s="395"/>
      <c r="P125" s="302"/>
      <c r="Q125" s="302"/>
    </row>
    <row r="126" spans="1:17" ht="16.25" customHeight="1" x14ac:dyDescent="0.2">
      <c r="A126" s="551"/>
      <c r="B126" s="381"/>
      <c r="C126" s="841" t="str">
        <f>IF((RHIZOTRON_N_UpgradeUpdate + RHIZOTRON_N_Software ) = 2,"",LEFT(INDEX(RHIZOTRON_SoftwareFullNames,RHIZOTRON_IndexSoftware),FIND(" ",INDEX(RHIZOTRON_SoftwareFullNames,RHIZOTRON_IndexSoftware),FIND(" ",INDEX(RHIZOTRON_SoftwareFullNames,RHIZOTRON_IndexSoftware))+8)) &amp;
RHIZOTRON_YearMostRecent)</f>
        <v/>
      </c>
      <c r="D126" s="841"/>
      <c r="E126" s="389"/>
      <c r="F126" s="389"/>
      <c r="G126" s="360" t="str">
        <f>IF(RHIZOTRON_OptionXL*(RHIZOTRON_N_Software+RHIZOTRON_N_UpgradeUpdate-2)&gt;=((ROW(G126)-ROW($G$99))/4+1),"XLRHIZOTRON "&amp; RHIZOTRON_YearMostRecent,"")</f>
        <v/>
      </c>
      <c r="H126" s="343"/>
      <c r="I126" s="343"/>
      <c r="J126" s="360" t="str">
        <f>IF(RHIZOTRON_N_Software-1&gt;((ROW(G126)-ROW($G$99))/4+1),IF(N_SystemTotal=0,"Software Only",IF(N_STDScanners+N_LAScanners+N_LCScanners=0,"Software Sans Scanner","Software Avec Scanner")),
IF(RHIZOTRON_N_UpgradeUpdate-1&gt;=((ROW(G126)-ROW($G$99))/4+1)-(RHIZOTRON_N_Software-1),"Update",""))</f>
        <v/>
      </c>
      <c r="K126" s="343"/>
      <c r="L126" s="342"/>
      <c r="M126" s="342"/>
      <c r="N126" s="342"/>
      <c r="O126" s="302"/>
      <c r="P126" s="302"/>
      <c r="Q126" s="302"/>
    </row>
    <row r="127" spans="1:17" ht="24" customHeight="1" x14ac:dyDescent="0.2">
      <c r="A127" s="563" t="s">
        <v>268</v>
      </c>
      <c r="B127" s="375" t="s">
        <v>268</v>
      </c>
      <c r="C127" s="507" t="str">
        <f>"☐☐ Win" &amp;
IF(INT((ROW(D127)-10)/30)+1=1,"DEN","")&amp;
IF(INT((ROW(D127)-10)/30)+1=2,"CEL","")&amp;
IF(INT((ROW(D127)-10)/30)+1=3,"RHI","")&amp;
IF(INT((ROW(D127)-10)/30)+1=4,"RT","")&amp;
IF(INT((ROW(D127)-10)/30)+1=5,"FOL","")&amp;
IF(INT((ROW(D127)-10)/30)+1=6,"SEE","")&amp;
IF(INT((ROW(D127)-10)/30)+1=7,"CAM","")&amp;
IF(INT((ROW(D127)-10)/30)+1=8,"SCA","") &amp; ".exe"</f>
        <v>☐☐ WinRT.exe</v>
      </c>
      <c r="D127" s="507" t="str">
        <f xml:space="preserve"> IF(N("If it is Cam, Do not Show XL")+AND(ROW(D127)&gt;=189,ROW(D127)&lt;=218),"","☐ XL" &amp;
IF(INT((ROW(D127)-10)/30)+1=1,"STEM","")&amp;
IF(INT((ROW(D127)-10)/30)+1=2,"Cell","")&amp;
IF(INT((ROW(D127)-10)/30)+1=3,"Rhizo","")&amp;
IF(INT((ROW(D127)-10)/30)+1=4,"RhizoT","")&amp;
IF(INT((ROW(D127)-10)/30)+1=5,"Folia","")&amp;
IF(INT((ROW(D127)-10)/30)+1=6,"Seedle","")&amp;
IF(INT((ROW(D127)-10)/30)+1=7,"Cam","")&amp;
IF(INT((ROW(D127)-10)/30)+1=8,"Scanopy","") &amp; ".xls")</f>
        <v>☐ XLRhizoT.xls</v>
      </c>
      <c r="E127" s="507" t="s">
        <v>309</v>
      </c>
      <c r="F127" s="508" t="s">
        <v>159</v>
      </c>
      <c r="G127" s="507" t="str">
        <f xml:space="preserve"> IF(N("If it is Cam, Do not Show XL")+AND(ROW(G127)&gt;=189,ROW(G127)&lt;=218),"","☐ XL Man")</f>
        <v>☐ XL Man</v>
      </c>
      <c r="H127" s="508" t="s">
        <v>290</v>
      </c>
      <c r="I127" s="395" t="s">
        <v>284</v>
      </c>
      <c r="J127" s="508" t="str">
        <f>IF(N("Si OR dessous = vrai, pas de box")+OR(
N("1 OR Tron ou CELL")+OR(AND(ROW(E127)&gt;=39,ROW(E127)&lt;=68),AND(ROW(E127)&gt;=99,ROW(E127)&lt;=128)),
N("2 Pas de système scanopy and range opy")+AND(ROW(E127)&gt;=219,ROW(E127)&lt;=248,SCANOPY_N_System&lt;2),
N("3 Avec LC")&amp;IF(ISERROR(LEFT(D126,SEARCH("00",D126)-3)),"",LEFT(D126,SEARCH("00",D126)-3))="LC"),"","☐ ")
&amp;
IF(N("If it's OPY, put OMount Manual instead")+
AND(ROW(D127)&gt;=219,ROW(D127)&lt;=248),
IF(SCANOPY_N_System&gt;1,
IF(SCANOPY_IndexScanner=1,"α" &amp; SCANOPY_CameraModel,SCANOPY_CameraModel_Mini) &amp; " Man",""),
IF(N("If it is Cell or Tron, Do not Show Scanner related items+No Video if LC")+OR(
AND(ROW(E127)&gt;=39,ROW(E127)&lt;=68),
AND(ROW(E127)&gt;=99,ROW(E127)&lt;=128)),
    "", IF(1=N("Si système a un scanner différent du Scanner populaire alors différent, sinon Scanner populaire")+AND(NOT(ISERROR(SEARCH("System",D126))),LEFT(D126,2)&lt;&gt;LEFT(PROD_MostPopularScanner,2)),
LEFT(D126,SEARCH("00",D126)-3),
PROD_MostPopularScanner) &amp; " Install Man"))</f>
        <v/>
      </c>
      <c r="K127" s="507" t="str">
        <f>IF(N("If it is Cell or Tron or OPY, Do not Show Twain")+OR(AND(ROW(K127)&gt;=39,ROW(K127)&lt;=68),AND(ROW(K127)&gt;=99,ROW(K127)&lt;=128),AND(ROW(J127)&gt;=219,ROW(J127)&lt;=248)),"","☐ TWAIN")</f>
        <v/>
      </c>
      <c r="L127" s="508" t="str">
        <f>IF(N("Si OR dessous = vrai, pas de box")+OR(
N("1 OR Dendro+CELL, Tron+Folia,Cam")+OR(
AND(ROW(K127)&gt;=9,ROW(K127)&lt;=68),
AND(ROW(K127)&gt;=99,ROW(K127)&lt;=158),
AND(ROW(K127)&gt;=189,ROW(K127)&lt;=218)),
N("2 Pas de système scanopy and range opy")+AND(ROW(K127)&gt;=219,ROW(K127)&lt;=248,SCANOPY_N_System&lt;2),
N("3 Avec LC")&amp;IF(ISERROR(LEFT(J126,SEARCH("00",J126)-3)),"",LEFT(J126,SEARCH("00",J126)-3))="LC"),"","☐ ")
&amp;
IF(N("If it's OPY, put OMount Manual instead")+
AND(ROW(J127)&gt;=219,ROW(J127)&lt;=248),
IF(SCANOPY_N_System&gt;1,"OMount Man",""),
IF(N("If it is Dendro+CELL, Tron+Folia or Cam, Do not Show Scanner related items+No Video if LC")+OR(
AND(ROW(K127)&gt;=9,ROW(K127)&lt;=68),
AND(ROW(K127)&gt;=99,ROW(K127)&lt;=158),
AND(ROW(K127)&gt;=189,ROW(K127)&lt;=218),
IF(ISERROR(LEFT(J126,SEARCH("00",J126)-3)),"",LEFT(J126,SEARCH("00",J126)-3))="LC"),
    "", "Video " &amp; IF(1=N("Si système a un scanner différent du Scanner populaire alors différent, sinon Scanner populaire")+AND(NOT(ISERROR(SEARCH("System",J126))),LEFT(J126,2)&lt;&gt;LEFT(PROD_MostPopularScanner,2)),
LEFT(J126,SEARCH("00",J126)-3),
PROD_MostPopularScanner) &amp; " Install"))</f>
        <v/>
      </c>
      <c r="M127" s="507" t="str">
        <f>IF(N("If it is Dendro or Tron, Do not Show Color Analysis Video")+
OR(AND(ROW(L127)&gt;=9,ROW(L127)&lt;=38),
AND(ROW(L127)&gt;=99,ROW(L127)&lt;=128)), "","☐ Video ClrAna")</f>
        <v/>
      </c>
      <c r="N127" s="508" t="str">
        <f>IF(OR(INT((ROW(D127)-10)/30)+1=2,INT((ROW(D127)-10)/30)+1=4),"","☐ ")&amp;
IF(INT((ROW(D127)-10)/30)+1=1,"Scanner.cal","")&amp;
IF(INT((ROW(D127)-10)/30)+1=2,"","")&amp;
IF(INT((ROW(D127)-10)/30)+1=3,"Scanner.cal","")&amp;
IF(INT((ROW(D127)-10)/30)+1=4,"","")&amp;
IF(INT((ROW(D127)-10)/30)+1=5,"Scanner.cal","")&amp;
IF(INT((ROW(D127)-10)/30)+1=6,"Scanner.cal","")&amp;
IF(INT((ROW(D127)-10)/30)+1=7,"Scanner.cal","")&amp;
IF(INT((ROW(D127)-10)/30)+1=8,IF(SCANOPY_Camera, "Indiv", "Gen")&amp; " Lens.cal","")</f>
        <v/>
      </c>
      <c r="O127" s="395" t="str">
        <f>IF(AND(ROW(L127)&gt;=9,ROW(L127)&lt;=38),"☐ RegentTarget.blu","")</f>
        <v/>
      </c>
      <c r="P127" s="302"/>
      <c r="Q127" s="302"/>
    </row>
    <row r="128" spans="1:17" ht="24" customHeight="1" x14ac:dyDescent="0.2">
      <c r="A128" s="563" t="s">
        <v>269</v>
      </c>
      <c r="B128" s="311" t="s">
        <v>269</v>
      </c>
      <c r="C128" s="395" t="s">
        <v>159</v>
      </c>
      <c r="D128" s="395" t="str">
        <f xml:space="preserve"> IF(N("If it is Cam, Do not Show XL")+AND(ROW(D128)&gt;=189,ROW(D128)&lt;=218),"","☐ XL Man")</f>
        <v>☐ XL Man</v>
      </c>
      <c r="E128" s="570" t="str">
        <f>IF(N("Si OR dessous = vrai, pas de box")+OR(
N("1 OR Tron ou CELL")+OR(AND(ROW(K127)&gt;=39,ROW(K127)&lt;=68),AND(ROW(K127)&gt;=99,ROW(K127)&lt;=128)),
N("2 Pas de système scanopy and range opy")+AND(ROW(K127)&gt;=219,ROW(K127)&lt;=248,SCANOPY_N_System&lt;2),
N("3 Avec LC")&amp;IF(ISERROR(LEFT(J126,SEARCH("00",J126)-3)),"",LEFT(J126,SEARCH("00",J126)-3))="LC"),"","☐ ")
&amp;
IF(N("If it's OPY, put OMount Manual instead")+
AND(ROW(J127)&gt;=219,ROW(J127)&lt;=248),
IF(SCANOPY_N_System&gt;1,"OMount Man",""),
IF(N("If it is Cell or Tron, Do not Show Scanner related items")+OR(
AND(ROW(K127)&gt;=39,ROW(K127)&lt;=68),
AND(ROW(K127)&gt;=99,ROW(K127)&lt;=128)),
    "", IF(1=N("Si système a un scanner différent du Scanner populaire alors différent, sinon Scanner populaire")+AND(NOT(ISERROR(SEARCH("System",J126))),LEFT(J126,2)&lt;&gt;LEFT(PROD_MostPopularScanner,2)),
LEFT(J126,SEARCH("00",J126)-3),
PROD_MostPopularScanner) &amp; " Install Man"))</f>
        <v/>
      </c>
      <c r="F128" s="509" t="s">
        <v>285</v>
      </c>
      <c r="G128" s="395" t="s">
        <v>284</v>
      </c>
      <c r="H128" s="572" t="s">
        <v>260</v>
      </c>
      <c r="I128" s="510"/>
      <c r="J128" s="395" t="s">
        <v>160</v>
      </c>
      <c r="K128" s="353"/>
      <c r="L128" s="572" t="s">
        <v>734</v>
      </c>
      <c r="M128" s="395"/>
      <c r="N128" s="509"/>
      <c r="O128" s="395"/>
      <c r="P128" s="302"/>
      <c r="Q128" s="302"/>
    </row>
    <row r="129" spans="1:17" ht="16.25" customHeight="1" x14ac:dyDescent="0.2">
      <c r="A129" s="552"/>
      <c r="B129" s="382"/>
      <c r="C129" s="829" t="str">
        <f>IF((FOLIA_N_UpgradeUpdate + FOLIA_N_Software ) = 2,"",LEFT(INDEX(FOLIA_SoftwareFullNames,FOLIA_IndexSoftware),FIND(" ",INDEX(FOLIA_SoftwareFullNames,FOLIA_IndexSoftware),FIND(" ",INDEX(FOLIA_SoftwareFullNames,FOLIA_IndexSoftware))+1)) &amp;
FOLIA_YearMostRecent )</f>
        <v/>
      </c>
      <c r="D129" s="829"/>
      <c r="E129" s="390"/>
      <c r="F129" s="390"/>
      <c r="G129" s="361" t="str">
        <f>IF(FOLIA_OptionXL*(FOLIA_N_Software+FOLIA_N_UpgradeUpdate-2)&gt;=((ROW(G129)-ROW($G$129))/4+1),"XLFOLIA "&amp; FOLIA_YearMostRecent,"")</f>
        <v/>
      </c>
      <c r="H129" s="345"/>
      <c r="I129" s="345"/>
      <c r="J129" s="361" t="str">
        <f>IF(FOLIA_N_System-1&gt;=((ROW(G129)-ROW($G$129))/4+1),IF(FOLIA_IndexScanner=1,"STD4800",IF(FOLIA_IndexScanner=2,"LA2400","LC4800P")) &amp; " System"&amp; IF(AND(FOLIA_ClientWithOrWithoutScanner=2,FOLIA_N_System&gt;1)," Sans Scanner"," Avec Scanner"),
IF(AND(FOLIA_N_Software&gt;FOLIA_N_System,FOLIA_N_Software-1&gt;((ROW(G129)-ROW($G$129))/4+1)),IF(N_SystemTotal=0,"Software Only",IF(N_STDScanners+N_LAScanners+N_LCScanners=0,"Software Sans Scanner","Software Avec Scanner")),
IF(FOLIA_N_UpgradeUpdate-1&gt;=((ROW(G129)-ROW($G$129))/4+1)-(MAX(FOLIA_N_System,FOLIA_N_Software)-1),"Update","")))</f>
        <v/>
      </c>
      <c r="K129" s="345"/>
      <c r="L129" s="344"/>
      <c r="M129" s="344"/>
      <c r="N129" s="344"/>
      <c r="O129" s="302"/>
      <c r="P129" s="302"/>
      <c r="Q129" s="302"/>
    </row>
    <row r="130" spans="1:17" ht="24" customHeight="1" x14ac:dyDescent="0.2">
      <c r="A130" s="564" t="s">
        <v>268</v>
      </c>
      <c r="B130" s="375" t="s">
        <v>268</v>
      </c>
      <c r="C130" s="507" t="str">
        <f>"☐☐ Win" &amp;
IF(INT((ROW(D130)-10)/30)+1=1,"DEN","")&amp;
IF(INT((ROW(D130)-10)/30)+1=2,"CEL","")&amp;
IF(INT((ROW(D130)-10)/30)+1=3,"RHI","")&amp;
IF(INT((ROW(D130)-10)/30)+1=4,"RT","")&amp;
IF(INT((ROW(D130)-10)/30)+1=5,"FOL","")&amp;
IF(INT((ROW(D130)-10)/30)+1=6,"SEE","")&amp;
IF(INT((ROW(D130)-10)/30)+1=7,"CAM","")&amp;
IF(INT((ROW(D130)-10)/30)+1=8,"SCA","") &amp; ".exe"</f>
        <v>☐☐ WinFOL.exe</v>
      </c>
      <c r="D130" s="507" t="str">
        <f xml:space="preserve"> IF(N("If it is Cam, Do not Show XL")+AND(ROW(D130)&gt;=189,ROW(D130)&lt;=218),"","☐ XL" &amp;
IF(INT((ROW(D130)-10)/30)+1=1,"STEM","")&amp;
IF(INT((ROW(D130)-10)/30)+1=2,"Cell","")&amp;
IF(INT((ROW(D130)-10)/30)+1=3,"Rhizo","")&amp;
IF(INT((ROW(D130)-10)/30)+1=4,"RhizoT","")&amp;
IF(INT((ROW(D130)-10)/30)+1=5,"Folia","")&amp;
IF(INT((ROW(D130)-10)/30)+1=6,"Seedle","")&amp;
IF(INT((ROW(D130)-10)/30)+1=7,"Cam","")&amp;
IF(INT((ROW(D130)-10)/30)+1=8,"Scanopy","") &amp; ".xls")</f>
        <v>☐ XLFolia.xls</v>
      </c>
      <c r="E130" s="507" t="s">
        <v>309</v>
      </c>
      <c r="F130" s="508" t="s">
        <v>159</v>
      </c>
      <c r="G130" s="507" t="str">
        <f xml:space="preserve"> IF(N("If it is Cam, Do not Show XL")+AND(ROW(G130)&gt;=189,ROW(G130)&lt;=218),"","☐ XL Man")</f>
        <v>☐ XL Man</v>
      </c>
      <c r="H130" s="508" t="s">
        <v>290</v>
      </c>
      <c r="I130" s="395" t="s">
        <v>284</v>
      </c>
      <c r="J130" s="508" t="str">
        <f>IF(N("Si OR dessous = vrai, pas de box")+OR(
N("1 OR Tron ou CELL")+OR(AND(ROW(E130)&gt;=39,ROW(E130)&lt;=68),AND(ROW(E130)&gt;=99,ROW(E130)&lt;=128)),
N("2 Pas de système scanopy and range opy")+AND(ROW(E130)&gt;=219,ROW(E130)&lt;=248,SCANOPY_N_System&lt;2),
N("3 Avec LC")&amp;IF(ISERROR(LEFT(D129,SEARCH("00",D129)-3)),"",LEFT(D129,SEARCH("00",D129)-3))="LC"),"","☐ ")
&amp;
IF(N("If it's OPY, put OMount Manual instead")+
AND(ROW(D130)&gt;=219,ROW(D130)&lt;=248),
IF(SCANOPY_N_System&gt;1,
IF(SCANOPY_IndexScanner=1,"α" &amp; SCANOPY_CameraModel,SCANOPY_CameraModel_Mini) &amp; " Man",""),
IF(N("If it is Cell or Tron, Do not Show Scanner related items+No Video if LC")+OR(
AND(ROW(E130)&gt;=39,ROW(E130)&lt;=68),
AND(ROW(E130)&gt;=99,ROW(E130)&lt;=128)),
    "", IF(1=N("Si système a un scanner différent du Scanner populaire alors différent, sinon Scanner populaire")+AND(NOT(ISERROR(SEARCH("System",D129))),LEFT(D129,2)&lt;&gt;LEFT(PROD_MostPopularScanner,2)),
LEFT(D129,SEARCH("00",D129)-3),
PROD_MostPopularScanner) &amp; " Install Man"))</f>
        <v>☐ Scan. Install Man</v>
      </c>
      <c r="K130" s="507" t="str">
        <f>IF(N("If it is Cell or Tron or OPY, Do not Show Twain")+OR(AND(ROW(K130)&gt;=39,ROW(K130)&lt;=68),AND(ROW(K130)&gt;=99,ROW(K130)&lt;=128),AND(ROW(J130)&gt;=219,ROW(J130)&lt;=248)),"","☐ TWAIN")</f>
        <v>☐ TWAIN</v>
      </c>
      <c r="L130" s="508" t="str">
        <f>IF(N("Si OR dessous = vrai, pas de box")+OR(
N("1 OR Dendro+CELL, Tron+Folia,Cam")+OR(
AND(ROW(K130)&gt;=9,ROW(K130)&lt;=68),
AND(ROW(K130)&gt;=99,ROW(K130)&lt;=158),
AND(ROW(K130)&gt;=189,ROW(K130)&lt;=218)),
N("2 Pas de système scanopy and range opy")+AND(ROW(K130)&gt;=219,ROW(K130)&lt;=248,SCANOPY_N_System&lt;2),
N("3 Avec LC")&amp;IF(ISERROR(LEFT(J129,SEARCH("00",J129)-3)),"",LEFT(J129,SEARCH("00",J129)-3))="LC"),"","☐ ")
&amp;
IF(N("If it's OPY, put OMount Manual instead")+
AND(ROW(J130)&gt;=219,ROW(J130)&lt;=248),
IF(SCANOPY_N_System&gt;1,"OMount Man",""),
IF(N("If it is Dendro+CELL, Tron+Folia or Cam, Do not Show Scanner related items+No Video if LC")+OR(
AND(ROW(K130)&gt;=9,ROW(K130)&lt;=68),
AND(ROW(K130)&gt;=99,ROW(K130)&lt;=158),
AND(ROW(K130)&gt;=189,ROW(K130)&lt;=218),
IF(ISERROR(LEFT(J129,SEARCH("00",J129)-3)),"",LEFT(J129,SEARCH("00",J129)-3))="LC"),
    "", "Video " &amp; IF(1=N("Si système a un scanner différent du Scanner populaire alors différent, sinon Scanner populaire")+AND(NOT(ISERROR(SEARCH("System",J129))),LEFT(J129,2)&lt;&gt;LEFT(PROD_MostPopularScanner,2)),
LEFT(J129,SEARCH("00",J129)-3),
PROD_MostPopularScanner) &amp; " Install"))</f>
        <v/>
      </c>
      <c r="M130" s="507" t="str">
        <f>IF(N("If it is Dendro or Tron, Do not Show Color Analysis Video")+
OR(AND(ROW(L130)&gt;=9,ROW(L130)&lt;=38),
AND(ROW(L130)&gt;=99,ROW(L130)&lt;=128)), "","☐ Video ClrAna")</f>
        <v>☐ Video ClrAna</v>
      </c>
      <c r="N130" s="508" t="str">
        <f>IF(OR(INT((ROW(D130)-10)/30)+1=2,INT((ROW(D130)-10)/30)+1=4),"","☐ ")&amp;
IF(INT((ROW(D130)-10)/30)+1=1,"Scanner.cal","")&amp;
IF(INT((ROW(D130)-10)/30)+1=2,"","")&amp;
IF(INT((ROW(D130)-10)/30)+1=3,"Scanner.cal","")&amp;
IF(INT((ROW(D130)-10)/30)+1=4,"","")&amp;
IF(INT((ROW(D130)-10)/30)+1=5,"Scanner.cal","")&amp;
IF(INT((ROW(D130)-10)/30)+1=6,"Scanner.cal","")&amp;
IF(INT((ROW(D130)-10)/30)+1=7,"Scanner.cal","")&amp;
IF(INT((ROW(D130)-10)/30)+1=8,IF(SCANOPY_Camera, "Indiv", "Gen")&amp; " Lens.cal","")</f>
        <v>☐ Scanner.cal</v>
      </c>
      <c r="O130" s="395" t="str">
        <f>IF(AND(ROW(L130)&gt;=9,ROW(L130)&lt;=38),"☐ RegentTarget.blu","")</f>
        <v/>
      </c>
      <c r="P130" s="302"/>
      <c r="Q130" s="302"/>
    </row>
    <row r="131" spans="1:17" ht="24" customHeight="1" x14ac:dyDescent="0.2">
      <c r="A131" s="564" t="s">
        <v>269</v>
      </c>
      <c r="B131" s="311" t="s">
        <v>269</v>
      </c>
      <c r="C131" s="395" t="s">
        <v>159</v>
      </c>
      <c r="D131" s="395" t="str">
        <f xml:space="preserve"> IF(N("If it is Cam, Do not Show XL")+AND(ROW(D131)&gt;=189,ROW(D131)&lt;=218),"","☐ XL Man")</f>
        <v>☐ XL Man</v>
      </c>
      <c r="E131" s="570" t="str">
        <f>IF(N("Si OR dessous = vrai, pas de box")+OR(
N("1 OR Tron ou CELL")+OR(AND(ROW(K130)&gt;=39,ROW(K130)&lt;=68),AND(ROW(K130)&gt;=99,ROW(K130)&lt;=128)),
N("2 Pas de système scanopy and range opy")+AND(ROW(K130)&gt;=219,ROW(K130)&lt;=248,SCANOPY_N_System&lt;2),
N("3 Avec LC")&amp;IF(ISERROR(LEFT(J129,SEARCH("00",J129)-3)),"",LEFT(J129,SEARCH("00",J129)-3))="LC"),"","☐ ")
&amp;
IF(N("If it's OPY, put OMount Manual instead")+
AND(ROW(J130)&gt;=219,ROW(J130)&lt;=248),
IF(SCANOPY_N_System&gt;1,"OMount Man",""),
IF(N("If it is Cell or Tron, Do not Show Scanner related items")+OR(
AND(ROW(K130)&gt;=39,ROW(K130)&lt;=68),
AND(ROW(K130)&gt;=99,ROW(K130)&lt;=128)),
    "", IF(1=N("Si système a un scanner différent du Scanner populaire alors différent, sinon Scanner populaire")+AND(NOT(ISERROR(SEARCH("System",J129))),LEFT(J129,2)&lt;&gt;LEFT(PROD_MostPopularScanner,2)),
LEFT(J129,SEARCH("00",J129)-3),
PROD_MostPopularScanner) &amp; " Install Man"))</f>
        <v>☐ Scan. Install Man</v>
      </c>
      <c r="F131" s="509" t="s">
        <v>285</v>
      </c>
      <c r="G131" s="395" t="s">
        <v>284</v>
      </c>
      <c r="H131" s="572" t="s">
        <v>260</v>
      </c>
      <c r="I131" s="510"/>
      <c r="J131" s="395" t="s">
        <v>160</v>
      </c>
      <c r="K131" s="353"/>
      <c r="L131" s="572" t="s">
        <v>734</v>
      </c>
      <c r="M131" s="395"/>
      <c r="N131" s="509"/>
      <c r="O131" s="395"/>
      <c r="P131" s="302"/>
      <c r="Q131" s="302"/>
    </row>
    <row r="132" spans="1:17" ht="16.25" customHeight="1" x14ac:dyDescent="0.2">
      <c r="A132" s="552"/>
      <c r="B132" s="382"/>
      <c r="C132" s="829" t="str">
        <f>IF((FOLIA_N_UpgradeUpdate + FOLIA_N_Software ) = 2,"",LEFT(INDEX(FOLIA_SoftwareFullNames,FOLIA_IndexSoftware),FIND(" ",INDEX(FOLIA_SoftwareFullNames,FOLIA_IndexSoftware),FIND(" ",INDEX(FOLIA_SoftwareFullNames,FOLIA_IndexSoftware))+1)) &amp;
FOLIA_YearMostRecent )</f>
        <v/>
      </c>
      <c r="D132" s="829"/>
      <c r="E132" s="390"/>
      <c r="F132" s="390"/>
      <c r="G132" s="361" t="str">
        <f>IF(FOLIA_OptionXL*(FOLIA_N_Software+FOLIA_N_UpgradeUpdate-2)&gt;=((ROW(G132)-ROW($G$129))/4+1),"XLFOLIA "&amp; FOLIA_YearMostRecent,"")</f>
        <v/>
      </c>
      <c r="H132" s="345"/>
      <c r="I132" s="345"/>
      <c r="J132" s="361" t="str">
        <f>IF(FOLIA_N_System-1&gt;=((ROW(G132)-ROW($G$129))/4+1),IF(FOLIA_IndexScanner=1,"STD4800",IF(FOLIA_IndexScanner=2,"LA2400","LC4800P")) &amp; " System"&amp; IF(AND(FOLIA_ClientWithOrWithoutScanner=2,FOLIA_N_System&gt;1)," Sans Scanner"," Avec Scanner"),
IF(AND(FOLIA_N_Software&gt;FOLIA_N_System,FOLIA_N_Software-1&gt;((ROW(G132)-ROW($G$129))/4+1)),IF(N_SystemTotal=0,"Software Only",IF(N_STDScanners+N_LAScanners+N_LCScanners=0,"Software Sans Scanner","Software Avec Scanner")),
IF(FOLIA_N_UpgradeUpdate-1&gt;=((ROW(G132)-ROW($G$129))/4+1)-(MAX(FOLIA_N_System,FOLIA_N_Software)-1),"Update","")))</f>
        <v/>
      </c>
      <c r="K132" s="345"/>
      <c r="L132" s="344"/>
      <c r="M132" s="344"/>
      <c r="N132" s="344"/>
      <c r="O132" s="302"/>
      <c r="P132" s="302"/>
      <c r="Q132" s="302"/>
    </row>
    <row r="133" spans="1:17" ht="24" customHeight="1" x14ac:dyDescent="0.2">
      <c r="A133" s="564" t="s">
        <v>268</v>
      </c>
      <c r="B133" s="375" t="s">
        <v>268</v>
      </c>
      <c r="C133" s="507" t="str">
        <f>"☐☐ Win" &amp;
IF(INT((ROW(D133)-10)/30)+1=1,"DEN","")&amp;
IF(INT((ROW(D133)-10)/30)+1=2,"CEL","")&amp;
IF(INT((ROW(D133)-10)/30)+1=3,"RHI","")&amp;
IF(INT((ROW(D133)-10)/30)+1=4,"RT","")&amp;
IF(INT((ROW(D133)-10)/30)+1=5,"FOL","")&amp;
IF(INT((ROW(D133)-10)/30)+1=6,"SEE","")&amp;
IF(INT((ROW(D133)-10)/30)+1=7,"CAM","")&amp;
IF(INT((ROW(D133)-10)/30)+1=8,"SCA","") &amp; ".exe"</f>
        <v>☐☐ WinFOL.exe</v>
      </c>
      <c r="D133" s="507" t="str">
        <f xml:space="preserve"> IF(N("If it is Cam, Do not Show XL")+AND(ROW(D133)&gt;=189,ROW(D133)&lt;=218),"","☐ XL" &amp;
IF(INT((ROW(D133)-10)/30)+1=1,"STEM","")&amp;
IF(INT((ROW(D133)-10)/30)+1=2,"Cell","")&amp;
IF(INT((ROW(D133)-10)/30)+1=3,"Rhizo","")&amp;
IF(INT((ROW(D133)-10)/30)+1=4,"RhizoT","")&amp;
IF(INT((ROW(D133)-10)/30)+1=5,"Folia","")&amp;
IF(INT((ROW(D133)-10)/30)+1=6,"Seedle","")&amp;
IF(INT((ROW(D133)-10)/30)+1=7,"Cam","")&amp;
IF(INT((ROW(D133)-10)/30)+1=8,"Scanopy","") &amp; ".xls")</f>
        <v>☐ XLFolia.xls</v>
      </c>
      <c r="E133" s="507" t="s">
        <v>309</v>
      </c>
      <c r="F133" s="508" t="s">
        <v>159</v>
      </c>
      <c r="G133" s="507" t="str">
        <f xml:space="preserve"> IF(N("If it is Cam, Do not Show XL")+AND(ROW(G133)&gt;=189,ROW(G133)&lt;=218),"","☐ XL Man")</f>
        <v>☐ XL Man</v>
      </c>
      <c r="H133" s="508" t="s">
        <v>290</v>
      </c>
      <c r="I133" s="395" t="s">
        <v>284</v>
      </c>
      <c r="J133" s="508" t="str">
        <f>IF(N("Si OR dessous = vrai, pas de box")+OR(
N("1 OR Tron ou CELL")+OR(AND(ROW(E133)&gt;=39,ROW(E133)&lt;=68),AND(ROW(E133)&gt;=99,ROW(E133)&lt;=128)),
N("2 Pas de système scanopy and range opy")+AND(ROW(E133)&gt;=219,ROW(E133)&lt;=248,SCANOPY_N_System&lt;2),
N("3 Avec LC")&amp;IF(ISERROR(LEFT(D132,SEARCH("00",D132)-3)),"",LEFT(D132,SEARCH("00",D132)-3))="LC"),"","☐ ")
&amp;
IF(N("If it's OPY, put OMount Manual instead")+
AND(ROW(D133)&gt;=219,ROW(D133)&lt;=248),
IF(SCANOPY_N_System&gt;1,
IF(SCANOPY_IndexScanner=1,"α" &amp; SCANOPY_CameraModel,SCANOPY_CameraModel_Mini) &amp; " Man",""),
IF(N("If it is Cell or Tron, Do not Show Scanner related items+No Video if LC")+OR(
AND(ROW(E133)&gt;=39,ROW(E133)&lt;=68),
AND(ROW(E133)&gt;=99,ROW(E133)&lt;=128)),
    "", IF(1=N("Si système a un scanner différent du Scanner populaire alors différent, sinon Scanner populaire")+AND(NOT(ISERROR(SEARCH("System",D132))),LEFT(D132,2)&lt;&gt;LEFT(PROD_MostPopularScanner,2)),
LEFT(D132,SEARCH("00",D132)-3),
PROD_MostPopularScanner) &amp; " Install Man"))</f>
        <v>☐ Scan. Install Man</v>
      </c>
      <c r="K133" s="507" t="str">
        <f>IF(N("If it is Cell or Tron or OPY, Do not Show Twain")+OR(AND(ROW(K133)&gt;=39,ROW(K133)&lt;=68),AND(ROW(K133)&gt;=99,ROW(K133)&lt;=128),AND(ROW(J133)&gt;=219,ROW(J133)&lt;=248)),"","☐ TWAIN")</f>
        <v>☐ TWAIN</v>
      </c>
      <c r="L133" s="508" t="str">
        <f>IF(N("Si OR dessous = vrai, pas de box")+OR(
N("1 OR Dendro+CELL, Tron+Folia,Cam")+OR(
AND(ROW(K133)&gt;=9,ROW(K133)&lt;=68),
AND(ROW(K133)&gt;=99,ROW(K133)&lt;=158),
AND(ROW(K133)&gt;=189,ROW(K133)&lt;=218)),
N("2 Pas de système scanopy and range opy")+AND(ROW(K133)&gt;=219,ROW(K133)&lt;=248,SCANOPY_N_System&lt;2),
N("3 Avec LC")&amp;IF(ISERROR(LEFT(J132,SEARCH("00",J132)-3)),"",LEFT(J132,SEARCH("00",J132)-3))="LC"),"","☐ ")
&amp;
IF(N("If it's OPY, put OMount Manual instead")+
AND(ROW(J133)&gt;=219,ROW(J133)&lt;=248),
IF(SCANOPY_N_System&gt;1,"OMount Man",""),
IF(N("If it is Dendro+CELL, Tron+Folia or Cam, Do not Show Scanner related items+No Video if LC")+OR(
AND(ROW(K133)&gt;=9,ROW(K133)&lt;=68),
AND(ROW(K133)&gt;=99,ROW(K133)&lt;=158),
AND(ROW(K133)&gt;=189,ROW(K133)&lt;=218),
IF(ISERROR(LEFT(J132,SEARCH("00",J132)-3)),"",LEFT(J132,SEARCH("00",J132)-3))="LC"),
    "", "Video " &amp; IF(1=N("Si système a un scanner différent du Scanner populaire alors différent, sinon Scanner populaire")+AND(NOT(ISERROR(SEARCH("System",J132))),LEFT(J132,2)&lt;&gt;LEFT(PROD_MostPopularScanner,2)),
LEFT(J132,SEARCH("00",J132)-3),
PROD_MostPopularScanner) &amp; " Install"))</f>
        <v/>
      </c>
      <c r="M133" s="507" t="str">
        <f>IF(N("If it is Dendro or Tron, Do not Show Color Analysis Video")+
OR(AND(ROW(L133)&gt;=9,ROW(L133)&lt;=38),
AND(ROW(L133)&gt;=99,ROW(L133)&lt;=128)), "","☐ Video ClrAna")</f>
        <v>☐ Video ClrAna</v>
      </c>
      <c r="N133" s="508" t="str">
        <f>IF(OR(INT((ROW(D133)-10)/30)+1=2,INT((ROW(D133)-10)/30)+1=4),"","☐ ")&amp;
IF(INT((ROW(D133)-10)/30)+1=1,"Scanner.cal","")&amp;
IF(INT((ROW(D133)-10)/30)+1=2,"","")&amp;
IF(INT((ROW(D133)-10)/30)+1=3,"Scanner.cal","")&amp;
IF(INT((ROW(D133)-10)/30)+1=4,"","")&amp;
IF(INT((ROW(D133)-10)/30)+1=5,"Scanner.cal","")&amp;
IF(INT((ROW(D133)-10)/30)+1=6,"Scanner.cal","")&amp;
IF(INT((ROW(D133)-10)/30)+1=7,"Scanner.cal","")&amp;
IF(INT((ROW(D133)-10)/30)+1=8,IF(SCANOPY_Camera, "Indiv", "Gen")&amp; " Lens.cal","")</f>
        <v>☐ Scanner.cal</v>
      </c>
      <c r="O133" s="395" t="str">
        <f>IF(AND(ROW(L133)&gt;=9,ROW(L133)&lt;=38),"☐ RegentTarget.blu","")</f>
        <v/>
      </c>
      <c r="P133" s="302"/>
      <c r="Q133" s="302"/>
    </row>
    <row r="134" spans="1:17" ht="24" customHeight="1" x14ac:dyDescent="0.2">
      <c r="A134" s="564" t="s">
        <v>269</v>
      </c>
      <c r="B134" s="311" t="s">
        <v>269</v>
      </c>
      <c r="C134" s="395" t="s">
        <v>159</v>
      </c>
      <c r="D134" s="395" t="str">
        <f xml:space="preserve"> IF(N("If it is Cam, Do not Show XL")+AND(ROW(D134)&gt;=189,ROW(D134)&lt;=218),"","☐ XL Man")</f>
        <v>☐ XL Man</v>
      </c>
      <c r="E134" s="570" t="str">
        <f>IF(N("Si OR dessous = vrai, pas de box")+OR(
N("1 OR Tron ou CELL")+OR(AND(ROW(K133)&gt;=39,ROW(K133)&lt;=68),AND(ROW(K133)&gt;=99,ROW(K133)&lt;=128)),
N("2 Pas de système scanopy and range opy")+AND(ROW(K133)&gt;=219,ROW(K133)&lt;=248,SCANOPY_N_System&lt;2),
N("3 Avec LC")&amp;IF(ISERROR(LEFT(J132,SEARCH("00",J132)-3)),"",LEFT(J132,SEARCH("00",J132)-3))="LC"),"","☐ ")
&amp;
IF(N("If it's OPY, put OMount Manual instead")+
AND(ROW(J133)&gt;=219,ROW(J133)&lt;=248),
IF(SCANOPY_N_System&gt;1,"OMount Man",""),
IF(N("If it is Cell or Tron, Do not Show Scanner related items")+OR(
AND(ROW(K133)&gt;=39,ROW(K133)&lt;=68),
AND(ROW(K133)&gt;=99,ROW(K133)&lt;=128)),
    "", IF(1=N("Si système a un scanner différent du Scanner populaire alors différent, sinon Scanner populaire")+AND(NOT(ISERROR(SEARCH("System",J132))),LEFT(J132,2)&lt;&gt;LEFT(PROD_MostPopularScanner,2)),
LEFT(J132,SEARCH("00",J132)-3),
PROD_MostPopularScanner) &amp; " Install Man"))</f>
        <v>☐ Scan. Install Man</v>
      </c>
      <c r="F134" s="509" t="s">
        <v>285</v>
      </c>
      <c r="G134" s="395" t="s">
        <v>284</v>
      </c>
      <c r="H134" s="572" t="s">
        <v>260</v>
      </c>
      <c r="I134" s="510"/>
      <c r="J134" s="395" t="s">
        <v>160</v>
      </c>
      <c r="K134" s="353"/>
      <c r="L134" s="572" t="s">
        <v>734</v>
      </c>
      <c r="M134" s="395"/>
      <c r="N134" s="509"/>
      <c r="O134" s="395"/>
      <c r="P134" s="302"/>
      <c r="Q134" s="302"/>
    </row>
    <row r="135" spans="1:17" ht="16.25" customHeight="1" x14ac:dyDescent="0.2">
      <c r="A135" s="552"/>
      <c r="B135" s="382"/>
      <c r="C135" s="829" t="str">
        <f>IF((FOLIA_N_UpgradeUpdate + FOLIA_N_Software ) = 2,"",LEFT(INDEX(FOLIA_SoftwareFullNames,FOLIA_IndexSoftware),FIND(" ",INDEX(FOLIA_SoftwareFullNames,FOLIA_IndexSoftware),FIND(" ",INDEX(FOLIA_SoftwareFullNames,FOLIA_IndexSoftware))+1)) &amp;
FOLIA_YearMostRecent )</f>
        <v/>
      </c>
      <c r="D135" s="829"/>
      <c r="E135" s="390"/>
      <c r="F135" s="390"/>
      <c r="G135" s="361" t="str">
        <f>IF(FOLIA_OptionXL*(FOLIA_N_Software+FOLIA_N_UpgradeUpdate-2)&gt;=((ROW(G135)-ROW($G$129))/4+1),"XLFOLIA "&amp; FOLIA_YearMostRecent,"")</f>
        <v/>
      </c>
      <c r="H135" s="345"/>
      <c r="I135" s="345"/>
      <c r="J135" s="361" t="str">
        <f>IF(FOLIA_N_System-1&gt;=((ROW(G135)-ROW($G$129))/4+1),IF(FOLIA_IndexScanner=1,"STD4800",IF(FOLIA_IndexScanner=2,"LA2400","LC4800P")) &amp; " System"&amp; IF(AND(FOLIA_ClientWithOrWithoutScanner=2,FOLIA_N_System&gt;1)," Sans Scanner"," Avec Scanner"),
IF(AND(FOLIA_N_Software&gt;FOLIA_N_System,FOLIA_N_Software-1&gt;((ROW(G135)-ROW($G$129))/4+1)),IF(N_SystemTotal=0,"Software Only",IF(N_STDScanners+N_LAScanners+N_LCScanners=0,"Software Sans Scanner","Software Avec Scanner")),
IF(FOLIA_N_UpgradeUpdate-1&gt;=((ROW(G135)-ROW($G$129))/4+1)-(MAX(FOLIA_N_System,FOLIA_N_Software)-1),"Update","")))</f>
        <v/>
      </c>
      <c r="K135" s="345"/>
      <c r="L135" s="344"/>
      <c r="M135" s="344"/>
      <c r="N135" s="344"/>
      <c r="O135" s="302"/>
      <c r="P135" s="302"/>
      <c r="Q135" s="302"/>
    </row>
    <row r="136" spans="1:17" ht="24" customHeight="1" x14ac:dyDescent="0.2">
      <c r="A136" s="564" t="s">
        <v>268</v>
      </c>
      <c r="B136" s="375" t="s">
        <v>268</v>
      </c>
      <c r="C136" s="507" t="str">
        <f>"☐☐ Win" &amp;
IF(INT((ROW(D136)-10)/30)+1=1,"DEN","")&amp;
IF(INT((ROW(D136)-10)/30)+1=2,"CEL","")&amp;
IF(INT((ROW(D136)-10)/30)+1=3,"RHI","")&amp;
IF(INT((ROW(D136)-10)/30)+1=4,"RT","")&amp;
IF(INT((ROW(D136)-10)/30)+1=5,"FOL","")&amp;
IF(INT((ROW(D136)-10)/30)+1=6,"SEE","")&amp;
IF(INT((ROW(D136)-10)/30)+1=7,"CAM","")&amp;
IF(INT((ROW(D136)-10)/30)+1=8,"SCA","") &amp; ".exe"</f>
        <v>☐☐ WinFOL.exe</v>
      </c>
      <c r="D136" s="507" t="str">
        <f xml:space="preserve"> IF(N("If it is Cam, Do not Show XL")+AND(ROW(D136)&gt;=189,ROW(D136)&lt;=218),"","☐ XL" &amp;
IF(INT((ROW(D136)-10)/30)+1=1,"STEM","")&amp;
IF(INT((ROW(D136)-10)/30)+1=2,"Cell","")&amp;
IF(INT((ROW(D136)-10)/30)+1=3,"Rhizo","")&amp;
IF(INT((ROW(D136)-10)/30)+1=4,"RhizoT","")&amp;
IF(INT((ROW(D136)-10)/30)+1=5,"Folia","")&amp;
IF(INT((ROW(D136)-10)/30)+1=6,"Seedle","")&amp;
IF(INT((ROW(D136)-10)/30)+1=7,"Cam","")&amp;
IF(INT((ROW(D136)-10)/30)+1=8,"Scanopy","") &amp; ".xls")</f>
        <v>☐ XLFolia.xls</v>
      </c>
      <c r="E136" s="507" t="s">
        <v>309</v>
      </c>
      <c r="F136" s="508" t="s">
        <v>159</v>
      </c>
      <c r="G136" s="507" t="str">
        <f xml:space="preserve"> IF(N("If it is Cam, Do not Show XL")+AND(ROW(G136)&gt;=189,ROW(G136)&lt;=218),"","☐ XL Man")</f>
        <v>☐ XL Man</v>
      </c>
      <c r="H136" s="508" t="s">
        <v>290</v>
      </c>
      <c r="I136" s="395" t="s">
        <v>284</v>
      </c>
      <c r="J136" s="508" t="str">
        <f>IF(N("Si OR dessous = vrai, pas de box")+OR(
N("1 OR Tron ou CELL")+OR(AND(ROW(E136)&gt;=39,ROW(E136)&lt;=68),AND(ROW(E136)&gt;=99,ROW(E136)&lt;=128)),
N("2 Pas de système scanopy and range opy")+AND(ROW(E136)&gt;=219,ROW(E136)&lt;=248,SCANOPY_N_System&lt;2),
N("3 Avec LC")&amp;IF(ISERROR(LEFT(D135,SEARCH("00",D135)-3)),"",LEFT(D135,SEARCH("00",D135)-3))="LC"),"","☐ ")
&amp;
IF(N("If it's OPY, put OMount Manual instead")+
AND(ROW(D136)&gt;=219,ROW(D136)&lt;=248),
IF(SCANOPY_N_System&gt;1,
IF(SCANOPY_IndexScanner=1,"α" &amp; SCANOPY_CameraModel,SCANOPY_CameraModel_Mini) &amp; " Man",""),
IF(N("If it is Cell or Tron, Do not Show Scanner related items+No Video if LC")+OR(
AND(ROW(E136)&gt;=39,ROW(E136)&lt;=68),
AND(ROW(E136)&gt;=99,ROW(E136)&lt;=128)),
    "", IF(1=N("Si système a un scanner différent du Scanner populaire alors différent, sinon Scanner populaire")+AND(NOT(ISERROR(SEARCH("System",D135))),LEFT(D135,2)&lt;&gt;LEFT(PROD_MostPopularScanner,2)),
LEFT(D135,SEARCH("00",D135)-3),
PROD_MostPopularScanner) &amp; " Install Man"))</f>
        <v>☐ Scan. Install Man</v>
      </c>
      <c r="K136" s="507" t="str">
        <f>IF(N("If it is Cell or Tron or OPY, Do not Show Twain")+OR(AND(ROW(K136)&gt;=39,ROW(K136)&lt;=68),AND(ROW(K136)&gt;=99,ROW(K136)&lt;=128),AND(ROW(J136)&gt;=219,ROW(J136)&lt;=248)),"","☐ TWAIN")</f>
        <v>☐ TWAIN</v>
      </c>
      <c r="L136" s="508" t="str">
        <f>IF(N("Si OR dessous = vrai, pas de box")+OR(
N("1 OR Dendro+CELL, Tron+Folia,Cam")+OR(
AND(ROW(K136)&gt;=9,ROW(K136)&lt;=68),
AND(ROW(K136)&gt;=99,ROW(K136)&lt;=158),
AND(ROW(K136)&gt;=189,ROW(K136)&lt;=218)),
N("2 Pas de système scanopy and range opy")+AND(ROW(K136)&gt;=219,ROW(K136)&lt;=248,SCANOPY_N_System&lt;2),
N("3 Avec LC")&amp;IF(ISERROR(LEFT(J135,SEARCH("00",J135)-3)),"",LEFT(J135,SEARCH("00",J135)-3))="LC"),"","☐ ")
&amp;
IF(N("If it's OPY, put OMount Manual instead")+
AND(ROW(J136)&gt;=219,ROW(J136)&lt;=248),
IF(SCANOPY_N_System&gt;1,"OMount Man",""),
IF(N("If it is Dendro+CELL, Tron+Folia or Cam, Do not Show Scanner related items+No Video if LC")+OR(
AND(ROW(K136)&gt;=9,ROW(K136)&lt;=68),
AND(ROW(K136)&gt;=99,ROW(K136)&lt;=158),
AND(ROW(K136)&gt;=189,ROW(K136)&lt;=218),
IF(ISERROR(LEFT(J135,SEARCH("00",J135)-3)),"",LEFT(J135,SEARCH("00",J135)-3))="LC"),
    "", "Video " &amp; IF(1=N("Si système a un scanner différent du Scanner populaire alors différent, sinon Scanner populaire")+AND(NOT(ISERROR(SEARCH("System",J135))),LEFT(J135,2)&lt;&gt;LEFT(PROD_MostPopularScanner,2)),
LEFT(J135,SEARCH("00",J135)-3),
PROD_MostPopularScanner) &amp; " Install"))</f>
        <v/>
      </c>
      <c r="M136" s="507" t="str">
        <f>IF(N("If it is Dendro or Tron, Do not Show Color Analysis Video")+
OR(AND(ROW(L136)&gt;=9,ROW(L136)&lt;=38),
AND(ROW(L136)&gt;=99,ROW(L136)&lt;=128)), "","☐ Video ClrAna")</f>
        <v>☐ Video ClrAna</v>
      </c>
      <c r="N136" s="508" t="str">
        <f>IF(OR(INT((ROW(D136)-10)/30)+1=2,INT((ROW(D136)-10)/30)+1=4),"","☐ ")&amp;
IF(INT((ROW(D136)-10)/30)+1=1,"Scanner.cal","")&amp;
IF(INT((ROW(D136)-10)/30)+1=2,"","")&amp;
IF(INT((ROW(D136)-10)/30)+1=3,"Scanner.cal","")&amp;
IF(INT((ROW(D136)-10)/30)+1=4,"","")&amp;
IF(INT((ROW(D136)-10)/30)+1=5,"Scanner.cal","")&amp;
IF(INT((ROW(D136)-10)/30)+1=6,"Scanner.cal","")&amp;
IF(INT((ROW(D136)-10)/30)+1=7,"Scanner.cal","")&amp;
IF(INT((ROW(D136)-10)/30)+1=8,IF(SCANOPY_Camera, "Indiv", "Gen")&amp; " Lens.cal","")</f>
        <v>☐ Scanner.cal</v>
      </c>
      <c r="O136" s="395" t="str">
        <f>IF(AND(ROW(L136)&gt;=9,ROW(L136)&lt;=38),"☐ RegentTarget.blu","")</f>
        <v/>
      </c>
      <c r="P136" s="302"/>
      <c r="Q136" s="302"/>
    </row>
    <row r="137" spans="1:17" ht="24" customHeight="1" x14ac:dyDescent="0.2">
      <c r="A137" s="564" t="s">
        <v>269</v>
      </c>
      <c r="B137" s="311" t="s">
        <v>269</v>
      </c>
      <c r="C137" s="395" t="s">
        <v>159</v>
      </c>
      <c r="D137" s="395" t="str">
        <f xml:space="preserve"> IF(N("If it is Cam, Do not Show XL")+AND(ROW(D137)&gt;=189,ROW(D137)&lt;=218),"","☐ XL Man")</f>
        <v>☐ XL Man</v>
      </c>
      <c r="E137" s="570" t="str">
        <f>IF(N("Si OR dessous = vrai, pas de box")+OR(
N("1 OR Tron ou CELL")+OR(AND(ROW(K136)&gt;=39,ROW(K136)&lt;=68),AND(ROW(K136)&gt;=99,ROW(K136)&lt;=128)),
N("2 Pas de système scanopy and range opy")+AND(ROW(K136)&gt;=219,ROW(K136)&lt;=248,SCANOPY_N_System&lt;2),
N("3 Avec LC")&amp;IF(ISERROR(LEFT(J135,SEARCH("00",J135)-3)),"",LEFT(J135,SEARCH("00",J135)-3))="LC"),"","☐ ")
&amp;
IF(N("If it's OPY, put OMount Manual instead")+
AND(ROW(J136)&gt;=219,ROW(J136)&lt;=248),
IF(SCANOPY_N_System&gt;1,"OMount Man",""),
IF(N("If it is Cell or Tron, Do not Show Scanner related items")+OR(
AND(ROW(K136)&gt;=39,ROW(K136)&lt;=68),
AND(ROW(K136)&gt;=99,ROW(K136)&lt;=128)),
    "", IF(1=N("Si système a un scanner différent du Scanner populaire alors différent, sinon Scanner populaire")+AND(NOT(ISERROR(SEARCH("System",J135))),LEFT(J135,2)&lt;&gt;LEFT(PROD_MostPopularScanner,2)),
LEFT(J135,SEARCH("00",J135)-3),
PROD_MostPopularScanner) &amp; " Install Man"))</f>
        <v>☐ Scan. Install Man</v>
      </c>
      <c r="F137" s="509" t="s">
        <v>285</v>
      </c>
      <c r="G137" s="395" t="s">
        <v>284</v>
      </c>
      <c r="H137" s="572" t="s">
        <v>260</v>
      </c>
      <c r="I137" s="510"/>
      <c r="J137" s="395" t="s">
        <v>160</v>
      </c>
      <c r="K137" s="353"/>
      <c r="L137" s="572" t="s">
        <v>734</v>
      </c>
      <c r="M137" s="395"/>
      <c r="N137" s="509"/>
      <c r="O137" s="395"/>
      <c r="P137" s="302"/>
      <c r="Q137" s="302"/>
    </row>
    <row r="138" spans="1:17" ht="16.25" customHeight="1" x14ac:dyDescent="0.2">
      <c r="A138" s="552"/>
      <c r="B138" s="382"/>
      <c r="C138" s="829" t="str">
        <f>IF((FOLIA_N_UpgradeUpdate + FOLIA_N_Software ) = 2,"",LEFT(INDEX(FOLIA_SoftwareFullNames,FOLIA_IndexSoftware),FIND(" ",INDEX(FOLIA_SoftwareFullNames,FOLIA_IndexSoftware),FIND(" ",INDEX(FOLIA_SoftwareFullNames,FOLIA_IndexSoftware))+1)) &amp;
FOLIA_YearMostRecent )</f>
        <v/>
      </c>
      <c r="D138" s="829"/>
      <c r="E138" s="390"/>
      <c r="F138" s="390"/>
      <c r="G138" s="361" t="str">
        <f>IF(FOLIA_OptionXL*(FOLIA_N_Software+FOLIA_N_UpgradeUpdate-2)&gt;=((ROW(G138)-ROW($G$129))/4+1),"XLFOLIA "&amp; FOLIA_YearMostRecent,"")</f>
        <v/>
      </c>
      <c r="H138" s="345"/>
      <c r="I138" s="345"/>
      <c r="J138" s="361" t="str">
        <f>IF(FOLIA_N_System-1&gt;=((ROW(G138)-ROW($G$129))/4+1),IF(FOLIA_IndexScanner=1,"STD4800",IF(FOLIA_IndexScanner=2,"LA2400","LC4800P")) &amp; " System"&amp; IF(AND(FOLIA_ClientWithOrWithoutScanner=2,FOLIA_N_System&gt;1)," Sans Scanner"," Avec Scanner"),
IF(AND(FOLIA_N_Software&gt;FOLIA_N_System,FOLIA_N_Software-1&gt;((ROW(G138)-ROW($G$129))/4+1)),IF(N_SystemTotal=0,"Software Only",IF(N_STDScanners+N_LAScanners+N_LCScanners=0,"Software Sans Scanner","Software Avec Scanner")),
IF(FOLIA_N_UpgradeUpdate-1&gt;=((ROW(G138)-ROW($G$129))/4+1)-(MAX(FOLIA_N_System,FOLIA_N_Software)-1),"Update","")))</f>
        <v/>
      </c>
      <c r="K138" s="345"/>
      <c r="L138" s="344"/>
      <c r="M138" s="344"/>
      <c r="N138" s="344"/>
      <c r="O138" s="302"/>
      <c r="P138" s="302"/>
      <c r="Q138" s="302"/>
    </row>
    <row r="139" spans="1:17" ht="24" customHeight="1" x14ac:dyDescent="0.2">
      <c r="A139" s="564" t="s">
        <v>268</v>
      </c>
      <c r="B139" s="375" t="s">
        <v>268</v>
      </c>
      <c r="C139" s="507" t="str">
        <f>"☐☐ Win" &amp;
IF(INT((ROW(D139)-10)/30)+1=1,"DEN","")&amp;
IF(INT((ROW(D139)-10)/30)+1=2,"CEL","")&amp;
IF(INT((ROW(D139)-10)/30)+1=3,"RHI","")&amp;
IF(INT((ROW(D139)-10)/30)+1=4,"RT","")&amp;
IF(INT((ROW(D139)-10)/30)+1=5,"FOL","")&amp;
IF(INT((ROW(D139)-10)/30)+1=6,"SEE","")&amp;
IF(INT((ROW(D139)-10)/30)+1=7,"CAM","")&amp;
IF(INT((ROW(D139)-10)/30)+1=8,"SCA","") &amp; ".exe"</f>
        <v>☐☐ WinFOL.exe</v>
      </c>
      <c r="D139" s="507" t="str">
        <f xml:space="preserve"> IF(N("If it is Cam, Do not Show XL")+AND(ROW(D139)&gt;=189,ROW(D139)&lt;=218),"","☐ XL" &amp;
IF(INT((ROW(D139)-10)/30)+1=1,"STEM","")&amp;
IF(INT((ROW(D139)-10)/30)+1=2,"Cell","")&amp;
IF(INT((ROW(D139)-10)/30)+1=3,"Rhizo","")&amp;
IF(INT((ROW(D139)-10)/30)+1=4,"RhizoT","")&amp;
IF(INT((ROW(D139)-10)/30)+1=5,"Folia","")&amp;
IF(INT((ROW(D139)-10)/30)+1=6,"Seedle","")&amp;
IF(INT((ROW(D139)-10)/30)+1=7,"Cam","")&amp;
IF(INT((ROW(D139)-10)/30)+1=8,"Scanopy","") &amp; ".xls")</f>
        <v>☐ XLFolia.xls</v>
      </c>
      <c r="E139" s="507" t="s">
        <v>309</v>
      </c>
      <c r="F139" s="508" t="s">
        <v>159</v>
      </c>
      <c r="G139" s="507" t="str">
        <f xml:space="preserve"> IF(N("If it is Cam, Do not Show XL")+AND(ROW(G139)&gt;=189,ROW(G139)&lt;=218),"","☐ XL Man")</f>
        <v>☐ XL Man</v>
      </c>
      <c r="H139" s="508" t="s">
        <v>290</v>
      </c>
      <c r="I139" s="395" t="s">
        <v>284</v>
      </c>
      <c r="J139" s="508" t="str">
        <f>IF(N("Si OR dessous = vrai, pas de box")+OR(
N("1 OR Tron ou CELL")+OR(AND(ROW(E139)&gt;=39,ROW(E139)&lt;=68),AND(ROW(E139)&gt;=99,ROW(E139)&lt;=128)),
N("2 Pas de système scanopy and range opy")+AND(ROW(E139)&gt;=219,ROW(E139)&lt;=248,SCANOPY_N_System&lt;2),
N("3 Avec LC")&amp;IF(ISERROR(LEFT(D138,SEARCH("00",D138)-3)),"",LEFT(D138,SEARCH("00",D138)-3))="LC"),"","☐ ")
&amp;
IF(N("If it's OPY, put OMount Manual instead")+
AND(ROW(D139)&gt;=219,ROW(D139)&lt;=248),
IF(SCANOPY_N_System&gt;1,
IF(SCANOPY_IndexScanner=1,"α" &amp; SCANOPY_CameraModel,SCANOPY_CameraModel_Mini) &amp; " Man",""),
IF(N("If it is Cell or Tron, Do not Show Scanner related items+No Video if LC")+OR(
AND(ROW(E139)&gt;=39,ROW(E139)&lt;=68),
AND(ROW(E139)&gt;=99,ROW(E139)&lt;=128)),
    "", IF(1=N("Si système a un scanner différent du Scanner populaire alors différent, sinon Scanner populaire")+AND(NOT(ISERROR(SEARCH("System",D138))),LEFT(D138,2)&lt;&gt;LEFT(PROD_MostPopularScanner,2)),
LEFT(D138,SEARCH("00",D138)-3),
PROD_MostPopularScanner) &amp; " Install Man"))</f>
        <v>☐ Scan. Install Man</v>
      </c>
      <c r="K139" s="507" t="str">
        <f>IF(N("If it is Cell or Tron or OPY, Do not Show Twain")+OR(AND(ROW(K139)&gt;=39,ROW(K139)&lt;=68),AND(ROW(K139)&gt;=99,ROW(K139)&lt;=128),AND(ROW(J139)&gt;=219,ROW(J139)&lt;=248)),"","☐ TWAIN")</f>
        <v>☐ TWAIN</v>
      </c>
      <c r="L139" s="508" t="str">
        <f>IF(N("Si OR dessous = vrai, pas de box")+OR(
N("1 OR Dendro+CELL, Tron+Folia,Cam")+OR(
AND(ROW(K139)&gt;=9,ROW(K139)&lt;=68),
AND(ROW(K139)&gt;=99,ROW(K139)&lt;=158),
AND(ROW(K139)&gt;=189,ROW(K139)&lt;=218)),
N("2 Pas de système scanopy and range opy")+AND(ROW(K139)&gt;=219,ROW(K139)&lt;=248,SCANOPY_N_System&lt;2),
N("3 Avec LC")&amp;IF(ISERROR(LEFT(J138,SEARCH("00",J138)-3)),"",LEFT(J138,SEARCH("00",J138)-3))="LC"),"","☐ ")
&amp;
IF(N("If it's OPY, put OMount Manual instead")+
AND(ROW(J139)&gt;=219,ROW(J139)&lt;=248),
IF(SCANOPY_N_System&gt;1,"OMount Man",""),
IF(N("If it is Dendro+CELL, Tron+Folia or Cam, Do not Show Scanner related items+No Video if LC")+OR(
AND(ROW(K139)&gt;=9,ROW(K139)&lt;=68),
AND(ROW(K139)&gt;=99,ROW(K139)&lt;=158),
AND(ROW(K139)&gt;=189,ROW(K139)&lt;=218),
IF(ISERROR(LEFT(J138,SEARCH("00",J138)-3)),"",LEFT(J138,SEARCH("00",J138)-3))="LC"),
    "", "Video " &amp; IF(1=N("Si système a un scanner différent du Scanner populaire alors différent, sinon Scanner populaire")+AND(NOT(ISERROR(SEARCH("System",J138))),LEFT(J138,2)&lt;&gt;LEFT(PROD_MostPopularScanner,2)),
LEFT(J138,SEARCH("00",J138)-3),
PROD_MostPopularScanner) &amp; " Install"))</f>
        <v/>
      </c>
      <c r="M139" s="507" t="str">
        <f>IF(N("If it is Dendro or Tron, Do not Show Color Analysis Video")+
OR(AND(ROW(L139)&gt;=9,ROW(L139)&lt;=38),
AND(ROW(L139)&gt;=99,ROW(L139)&lt;=128)), "","☐ Video ClrAna")</f>
        <v>☐ Video ClrAna</v>
      </c>
      <c r="N139" s="508" t="str">
        <f>IF(OR(INT((ROW(D139)-10)/30)+1=2,INT((ROW(D139)-10)/30)+1=4),"","☐ ")&amp;
IF(INT((ROW(D139)-10)/30)+1=1,"Scanner.cal","")&amp;
IF(INT((ROW(D139)-10)/30)+1=2,"","")&amp;
IF(INT((ROW(D139)-10)/30)+1=3,"Scanner.cal","")&amp;
IF(INT((ROW(D139)-10)/30)+1=4,"","")&amp;
IF(INT((ROW(D139)-10)/30)+1=5,"Scanner.cal","")&amp;
IF(INT((ROW(D139)-10)/30)+1=6,"Scanner.cal","")&amp;
IF(INT((ROW(D139)-10)/30)+1=7,"Scanner.cal","")&amp;
IF(INT((ROW(D139)-10)/30)+1=8,IF(SCANOPY_Camera, "Indiv", "Gen")&amp; " Lens.cal","")</f>
        <v>☐ Scanner.cal</v>
      </c>
      <c r="O139" s="395" t="str">
        <f>IF(AND(ROW(L139)&gt;=9,ROW(L139)&lt;=38),"☐ RegentTarget.blu","")</f>
        <v/>
      </c>
      <c r="P139" s="302"/>
      <c r="Q139" s="302"/>
    </row>
    <row r="140" spans="1:17" ht="24" customHeight="1" x14ac:dyDescent="0.2">
      <c r="A140" s="564" t="s">
        <v>269</v>
      </c>
      <c r="B140" s="311" t="s">
        <v>269</v>
      </c>
      <c r="C140" s="395" t="s">
        <v>159</v>
      </c>
      <c r="D140" s="395" t="str">
        <f xml:space="preserve"> IF(N("If it is Cam, Do not Show XL")+AND(ROW(D140)&gt;=189,ROW(D140)&lt;=218),"","☐ XL Man")</f>
        <v>☐ XL Man</v>
      </c>
      <c r="E140" s="570" t="str">
        <f>IF(N("Si OR dessous = vrai, pas de box")+OR(
N("1 OR Tron ou CELL")+OR(AND(ROW(K139)&gt;=39,ROW(K139)&lt;=68),AND(ROW(K139)&gt;=99,ROW(K139)&lt;=128)),
N("2 Pas de système scanopy and range opy")+AND(ROW(K139)&gt;=219,ROW(K139)&lt;=248,SCANOPY_N_System&lt;2),
N("3 Avec LC")&amp;IF(ISERROR(LEFT(J138,SEARCH("00",J138)-3)),"",LEFT(J138,SEARCH("00",J138)-3))="LC"),"","☐ ")
&amp;
IF(N("If it's OPY, put OMount Manual instead")+
AND(ROW(J139)&gt;=219,ROW(J139)&lt;=248),
IF(SCANOPY_N_System&gt;1,"OMount Man",""),
IF(N("If it is Cell or Tron, Do not Show Scanner related items")+OR(
AND(ROW(K139)&gt;=39,ROW(K139)&lt;=68),
AND(ROW(K139)&gt;=99,ROW(K139)&lt;=128)),
    "", IF(1=N("Si système a un scanner différent du Scanner populaire alors différent, sinon Scanner populaire")+AND(NOT(ISERROR(SEARCH("System",J138))),LEFT(J138,2)&lt;&gt;LEFT(PROD_MostPopularScanner,2)),
LEFT(J138,SEARCH("00",J138)-3),
PROD_MostPopularScanner) &amp; " Install Man"))</f>
        <v>☐ Scan. Install Man</v>
      </c>
      <c r="F140" s="509" t="s">
        <v>285</v>
      </c>
      <c r="G140" s="395" t="s">
        <v>284</v>
      </c>
      <c r="H140" s="572" t="s">
        <v>260</v>
      </c>
      <c r="I140" s="510"/>
      <c r="J140" s="395" t="s">
        <v>160</v>
      </c>
      <c r="K140" s="353"/>
      <c r="L140" s="572" t="s">
        <v>734</v>
      </c>
      <c r="M140" s="395"/>
      <c r="N140" s="509"/>
      <c r="O140" s="395"/>
      <c r="P140" s="302"/>
      <c r="Q140" s="302"/>
    </row>
    <row r="141" spans="1:17" ht="16.25" customHeight="1" x14ac:dyDescent="0.2">
      <c r="A141" s="552"/>
      <c r="B141" s="382"/>
      <c r="C141" s="829" t="str">
        <f>IF((FOLIA_N_UpgradeUpdate + FOLIA_N_Software ) = 2,"",LEFT(INDEX(FOLIA_SoftwareFullNames,FOLIA_IndexSoftware),FIND(" ",INDEX(FOLIA_SoftwareFullNames,FOLIA_IndexSoftware),FIND(" ",INDEX(FOLIA_SoftwareFullNames,FOLIA_IndexSoftware))+1)) &amp;
FOLIA_YearMostRecent )</f>
        <v/>
      </c>
      <c r="D141" s="829"/>
      <c r="E141" s="390"/>
      <c r="F141" s="390"/>
      <c r="G141" s="361" t="str">
        <f>IF(FOLIA_OptionXL*(FOLIA_N_Software+FOLIA_N_UpgradeUpdate-2)&gt;=((ROW(G141)-ROW($G$129))/4+1),"XLFOLIA "&amp; FOLIA_YearMostRecent,"")</f>
        <v/>
      </c>
      <c r="H141" s="345"/>
      <c r="I141" s="345"/>
      <c r="J141" s="361" t="str">
        <f>IF(FOLIA_N_System-1&gt;=((ROW(G141)-ROW($G$129))/4+1),IF(FOLIA_IndexScanner=1,"STD4800",IF(FOLIA_IndexScanner=2,"LA2400","LC4800P")) &amp; " System"&amp; IF(AND(FOLIA_ClientWithOrWithoutScanner=2,FOLIA_N_System&gt;1)," Sans Scanner"," Avec Scanner"),
IF(AND(FOLIA_N_Software&gt;FOLIA_N_System,FOLIA_N_Software-1&gt;((ROW(G141)-ROW($G$129))/4+1)),IF(N_SystemTotal=0,"Software Only",IF(N_STDScanners+N_LAScanners+N_LCScanners=0,"Software Sans Scanner","Software Avec Scanner")),
IF(FOLIA_N_UpgradeUpdate-1&gt;=((ROW(G141)-ROW($G$129))/4+1)-(MAX(FOLIA_N_System,FOLIA_N_Software)-1),"Update","")))</f>
        <v/>
      </c>
      <c r="K141" s="345"/>
      <c r="L141" s="344"/>
      <c r="M141" s="344"/>
      <c r="N141" s="344"/>
      <c r="O141" s="302"/>
      <c r="P141" s="302"/>
      <c r="Q141" s="302"/>
    </row>
    <row r="142" spans="1:17" ht="24" customHeight="1" x14ac:dyDescent="0.2">
      <c r="A142" s="564" t="s">
        <v>268</v>
      </c>
      <c r="B142" s="375" t="s">
        <v>268</v>
      </c>
      <c r="C142" s="507" t="str">
        <f>"☐☐ Win" &amp;
IF(INT((ROW(D142)-10)/30)+1=1,"DEN","")&amp;
IF(INT((ROW(D142)-10)/30)+1=2,"CEL","")&amp;
IF(INT((ROW(D142)-10)/30)+1=3,"RHI","")&amp;
IF(INT((ROW(D142)-10)/30)+1=4,"RT","")&amp;
IF(INT((ROW(D142)-10)/30)+1=5,"FOL","")&amp;
IF(INT((ROW(D142)-10)/30)+1=6,"SEE","")&amp;
IF(INT((ROW(D142)-10)/30)+1=7,"CAM","")&amp;
IF(INT((ROW(D142)-10)/30)+1=8,"SCA","") &amp; ".exe"</f>
        <v>☐☐ WinFOL.exe</v>
      </c>
      <c r="D142" s="507" t="str">
        <f xml:space="preserve"> IF(N("If it is Cam, Do not Show XL")+AND(ROW(D142)&gt;=189,ROW(D142)&lt;=218),"","☐ XL" &amp;
IF(INT((ROW(D142)-10)/30)+1=1,"STEM","")&amp;
IF(INT((ROW(D142)-10)/30)+1=2,"Cell","")&amp;
IF(INT((ROW(D142)-10)/30)+1=3,"Rhizo","")&amp;
IF(INT((ROW(D142)-10)/30)+1=4,"RhizoT","")&amp;
IF(INT((ROW(D142)-10)/30)+1=5,"Folia","")&amp;
IF(INT((ROW(D142)-10)/30)+1=6,"Seedle","")&amp;
IF(INT((ROW(D142)-10)/30)+1=7,"Cam","")&amp;
IF(INT((ROW(D142)-10)/30)+1=8,"Scanopy","") &amp; ".xls")</f>
        <v>☐ XLFolia.xls</v>
      </c>
      <c r="E142" s="507" t="s">
        <v>309</v>
      </c>
      <c r="F142" s="508" t="s">
        <v>159</v>
      </c>
      <c r="G142" s="507" t="str">
        <f xml:space="preserve"> IF(N("If it is Cam, Do not Show XL")+AND(ROW(G142)&gt;=189,ROW(G142)&lt;=218),"","☐ XL Man")</f>
        <v>☐ XL Man</v>
      </c>
      <c r="H142" s="508" t="s">
        <v>290</v>
      </c>
      <c r="I142" s="395" t="s">
        <v>284</v>
      </c>
      <c r="J142" s="508" t="str">
        <f>IF(N("Si OR dessous = vrai, pas de box")+OR(
N("1 OR Tron ou CELL")+OR(AND(ROW(E142)&gt;=39,ROW(E142)&lt;=68),AND(ROW(E142)&gt;=99,ROW(E142)&lt;=128)),
N("2 Pas de système scanopy and range opy")+AND(ROW(E142)&gt;=219,ROW(E142)&lt;=248,SCANOPY_N_System&lt;2),
N("3 Avec LC")&amp;IF(ISERROR(LEFT(D141,SEARCH("00",D141)-3)),"",LEFT(D141,SEARCH("00",D141)-3))="LC"),"","☐ ")
&amp;
IF(N("If it's OPY, put OMount Manual instead")+
AND(ROW(D142)&gt;=219,ROW(D142)&lt;=248),
IF(SCANOPY_N_System&gt;1,
IF(SCANOPY_IndexScanner=1,"α" &amp; SCANOPY_CameraModel,SCANOPY_CameraModel_Mini) &amp; " Man",""),
IF(N("If it is Cell or Tron, Do not Show Scanner related items+No Video if LC")+OR(
AND(ROW(E142)&gt;=39,ROW(E142)&lt;=68),
AND(ROW(E142)&gt;=99,ROW(E142)&lt;=128)),
    "", IF(1=N("Si système a un scanner différent du Scanner populaire alors différent, sinon Scanner populaire")+AND(NOT(ISERROR(SEARCH("System",D141))),LEFT(D141,2)&lt;&gt;LEFT(PROD_MostPopularScanner,2)),
LEFT(D141,SEARCH("00",D141)-3),
PROD_MostPopularScanner) &amp; " Install Man"))</f>
        <v>☐ Scan. Install Man</v>
      </c>
      <c r="K142" s="507" t="str">
        <f>IF(N("If it is Cell or Tron or OPY, Do not Show Twain")+OR(AND(ROW(K142)&gt;=39,ROW(K142)&lt;=68),AND(ROW(K142)&gt;=99,ROW(K142)&lt;=128),AND(ROW(J142)&gt;=219,ROW(J142)&lt;=248)),"","☐ TWAIN")</f>
        <v>☐ TWAIN</v>
      </c>
      <c r="L142" s="508" t="str">
        <f>IF(N("Si OR dessous = vrai, pas de box")+OR(
N("1 OR Dendro+CELL, Tron+Folia,Cam")+OR(
AND(ROW(K142)&gt;=9,ROW(K142)&lt;=68),
AND(ROW(K142)&gt;=99,ROW(K142)&lt;=158),
AND(ROW(K142)&gt;=189,ROW(K142)&lt;=218)),
N("2 Pas de système scanopy and range opy")+AND(ROW(K142)&gt;=219,ROW(K142)&lt;=248,SCANOPY_N_System&lt;2),
N("3 Avec LC")&amp;IF(ISERROR(LEFT(J141,SEARCH("00",J141)-3)),"",LEFT(J141,SEARCH("00",J141)-3))="LC"),"","☐ ")
&amp;
IF(N("If it's OPY, put OMount Manual instead")+
AND(ROW(J142)&gt;=219,ROW(J142)&lt;=248),
IF(SCANOPY_N_System&gt;1,"OMount Man",""),
IF(N("If it is Dendro+CELL, Tron+Folia or Cam, Do not Show Scanner related items+No Video if LC")+OR(
AND(ROW(K142)&gt;=9,ROW(K142)&lt;=68),
AND(ROW(K142)&gt;=99,ROW(K142)&lt;=158),
AND(ROW(K142)&gt;=189,ROW(K142)&lt;=218),
IF(ISERROR(LEFT(J141,SEARCH("00",J141)-3)),"",LEFT(J141,SEARCH("00",J141)-3))="LC"),
    "", "Video " &amp; IF(1=N("Si système a un scanner différent du Scanner populaire alors différent, sinon Scanner populaire")+AND(NOT(ISERROR(SEARCH("System",J141))),LEFT(J141,2)&lt;&gt;LEFT(PROD_MostPopularScanner,2)),
LEFT(J141,SEARCH("00",J141)-3),
PROD_MostPopularScanner) &amp; " Install"))</f>
        <v/>
      </c>
      <c r="M142" s="507" t="str">
        <f>IF(N("If it is Dendro or Tron, Do not Show Color Analysis Video")+
OR(AND(ROW(L142)&gt;=9,ROW(L142)&lt;=38),
AND(ROW(L142)&gt;=99,ROW(L142)&lt;=128)), "","☐ Video ClrAna")</f>
        <v>☐ Video ClrAna</v>
      </c>
      <c r="N142" s="508" t="str">
        <f>IF(OR(INT((ROW(D142)-10)/30)+1=2,INT((ROW(D142)-10)/30)+1=4),"","☐ ")&amp;
IF(INT((ROW(D142)-10)/30)+1=1,"Scanner.cal","")&amp;
IF(INT((ROW(D142)-10)/30)+1=2,"","")&amp;
IF(INT((ROW(D142)-10)/30)+1=3,"Scanner.cal","")&amp;
IF(INT((ROW(D142)-10)/30)+1=4,"","")&amp;
IF(INT((ROW(D142)-10)/30)+1=5,"Scanner.cal","")&amp;
IF(INT((ROW(D142)-10)/30)+1=6,"Scanner.cal","")&amp;
IF(INT((ROW(D142)-10)/30)+1=7,"Scanner.cal","")&amp;
IF(INT((ROW(D142)-10)/30)+1=8,IF(SCANOPY_Camera, "Indiv", "Gen")&amp; " Lens.cal","")</f>
        <v>☐ Scanner.cal</v>
      </c>
      <c r="O142" s="395" t="str">
        <f>IF(AND(ROW(L142)&gt;=9,ROW(L142)&lt;=38),"☐ RegentTarget.blu","")</f>
        <v/>
      </c>
      <c r="P142" s="302"/>
      <c r="Q142" s="302"/>
    </row>
    <row r="143" spans="1:17" ht="24" customHeight="1" x14ac:dyDescent="0.2">
      <c r="A143" s="564" t="s">
        <v>269</v>
      </c>
      <c r="B143" s="311" t="s">
        <v>269</v>
      </c>
      <c r="C143" s="395" t="s">
        <v>159</v>
      </c>
      <c r="D143" s="395" t="str">
        <f xml:space="preserve"> IF(N("If it is Cam, Do not Show XL")+AND(ROW(D143)&gt;=189,ROW(D143)&lt;=218),"","☐ XL Man")</f>
        <v>☐ XL Man</v>
      </c>
      <c r="E143" s="570" t="str">
        <f>IF(N("Si OR dessous = vrai, pas de box")+OR(
N("1 OR Tron ou CELL")+OR(AND(ROW(K142)&gt;=39,ROW(K142)&lt;=68),AND(ROW(K142)&gt;=99,ROW(K142)&lt;=128)),
N("2 Pas de système scanopy and range opy")+AND(ROW(K142)&gt;=219,ROW(K142)&lt;=248,SCANOPY_N_System&lt;2),
N("3 Avec LC")&amp;IF(ISERROR(LEFT(J141,SEARCH("00",J141)-3)),"",LEFT(J141,SEARCH("00",J141)-3))="LC"),"","☐ ")
&amp;
IF(N("If it's OPY, put OMount Manual instead")+
AND(ROW(J142)&gt;=219,ROW(J142)&lt;=248),
IF(SCANOPY_N_System&gt;1,"OMount Man",""),
IF(N("If it is Cell or Tron, Do not Show Scanner related items")+OR(
AND(ROW(K142)&gt;=39,ROW(K142)&lt;=68),
AND(ROW(K142)&gt;=99,ROW(K142)&lt;=128)),
    "", IF(1=N("Si système a un scanner différent du Scanner populaire alors différent, sinon Scanner populaire")+AND(NOT(ISERROR(SEARCH("System",J141))),LEFT(J141,2)&lt;&gt;LEFT(PROD_MostPopularScanner,2)),
LEFT(J141,SEARCH("00",J141)-3),
PROD_MostPopularScanner) &amp; " Install Man"))</f>
        <v>☐ Scan. Install Man</v>
      </c>
      <c r="F143" s="509" t="s">
        <v>285</v>
      </c>
      <c r="G143" s="395" t="s">
        <v>284</v>
      </c>
      <c r="H143" s="572" t="s">
        <v>260</v>
      </c>
      <c r="I143" s="510"/>
      <c r="J143" s="395" t="s">
        <v>160</v>
      </c>
      <c r="K143" s="353"/>
      <c r="L143" s="572" t="s">
        <v>734</v>
      </c>
      <c r="M143" s="395"/>
      <c r="N143" s="509"/>
      <c r="O143" s="395"/>
      <c r="P143" s="302"/>
      <c r="Q143" s="302"/>
    </row>
    <row r="144" spans="1:17" ht="16.25" customHeight="1" x14ac:dyDescent="0.2">
      <c r="A144" s="552"/>
      <c r="B144" s="382"/>
      <c r="C144" s="829" t="str">
        <f>IF((FOLIA_N_UpgradeUpdate + FOLIA_N_Software ) = 2,"",LEFT(INDEX(FOLIA_SoftwareFullNames,FOLIA_IndexSoftware),FIND(" ",INDEX(FOLIA_SoftwareFullNames,FOLIA_IndexSoftware),FIND(" ",INDEX(FOLIA_SoftwareFullNames,FOLIA_IndexSoftware))+1)) &amp;
FOLIA_YearMostRecent )</f>
        <v/>
      </c>
      <c r="D144" s="829"/>
      <c r="E144" s="390"/>
      <c r="F144" s="390"/>
      <c r="G144" s="361" t="str">
        <f>IF(FOLIA_OptionXL*(FOLIA_N_Software+FOLIA_N_UpgradeUpdate-2)&gt;=((ROW(G144)-ROW($G$129))/4+1),"XLFOLIA "&amp; FOLIA_YearMostRecent,"")</f>
        <v/>
      </c>
      <c r="H144" s="345"/>
      <c r="I144" s="345"/>
      <c r="J144" s="361" t="str">
        <f>IF(FOLIA_N_System-1&gt;=((ROW(G144)-ROW($G$129))/4+1),IF(FOLIA_IndexScanner=1,"STD4800",IF(FOLIA_IndexScanner=2,"LA2400","LC4800P")) &amp; " System"&amp; IF(AND(FOLIA_ClientWithOrWithoutScanner=2,FOLIA_N_System&gt;1)," Sans Scanner"," Avec Scanner"),
IF(AND(FOLIA_N_Software&gt;FOLIA_N_System,FOLIA_N_Software-1&gt;((ROW(G144)-ROW($G$129))/4+1)),IF(N_SystemTotal=0,"Software Only",IF(N_STDScanners+N_LAScanners+N_LCScanners=0,"Software Sans Scanner","Software Avec Scanner")),
IF(FOLIA_N_UpgradeUpdate-1&gt;=((ROW(G144)-ROW($G$129))/4+1)-(MAX(FOLIA_N_System,FOLIA_N_Software)-1),"Update","")))</f>
        <v/>
      </c>
      <c r="K144" s="345"/>
      <c r="L144" s="344"/>
      <c r="M144" s="344"/>
      <c r="N144" s="344"/>
      <c r="O144" s="302"/>
      <c r="P144" s="302"/>
      <c r="Q144" s="302"/>
    </row>
    <row r="145" spans="1:17" ht="24" customHeight="1" x14ac:dyDescent="0.2">
      <c r="A145" s="564" t="s">
        <v>268</v>
      </c>
      <c r="B145" s="375" t="s">
        <v>268</v>
      </c>
      <c r="C145" s="507" t="str">
        <f>"☐☐ Win" &amp;
IF(INT((ROW(D145)-10)/30)+1=1,"DEN","")&amp;
IF(INT((ROW(D145)-10)/30)+1=2,"CEL","")&amp;
IF(INT((ROW(D145)-10)/30)+1=3,"RHI","")&amp;
IF(INT((ROW(D145)-10)/30)+1=4,"RT","")&amp;
IF(INT((ROW(D145)-10)/30)+1=5,"FOL","")&amp;
IF(INT((ROW(D145)-10)/30)+1=6,"SEE","")&amp;
IF(INT((ROW(D145)-10)/30)+1=7,"CAM","")&amp;
IF(INT((ROW(D145)-10)/30)+1=8,"SCA","") &amp; ".exe"</f>
        <v>☐☐ WinFOL.exe</v>
      </c>
      <c r="D145" s="507" t="str">
        <f xml:space="preserve"> IF(N("If it is Cam, Do not Show XL")+AND(ROW(D145)&gt;=189,ROW(D145)&lt;=218),"","☐ XL" &amp;
IF(INT((ROW(D145)-10)/30)+1=1,"STEM","")&amp;
IF(INT((ROW(D145)-10)/30)+1=2,"Cell","")&amp;
IF(INT((ROW(D145)-10)/30)+1=3,"Rhizo","")&amp;
IF(INT((ROW(D145)-10)/30)+1=4,"RhizoT","")&amp;
IF(INT((ROW(D145)-10)/30)+1=5,"Folia","")&amp;
IF(INT((ROW(D145)-10)/30)+1=6,"Seedle","")&amp;
IF(INT((ROW(D145)-10)/30)+1=7,"Cam","")&amp;
IF(INT((ROW(D145)-10)/30)+1=8,"Scanopy","") &amp; ".xls")</f>
        <v>☐ XLFolia.xls</v>
      </c>
      <c r="E145" s="507" t="s">
        <v>309</v>
      </c>
      <c r="F145" s="508" t="s">
        <v>159</v>
      </c>
      <c r="G145" s="507" t="str">
        <f xml:space="preserve"> IF(N("If it is Cam, Do not Show XL")+AND(ROW(G145)&gt;=189,ROW(G145)&lt;=218),"","☐ XL Man")</f>
        <v>☐ XL Man</v>
      </c>
      <c r="H145" s="508" t="s">
        <v>290</v>
      </c>
      <c r="I145" s="395" t="s">
        <v>284</v>
      </c>
      <c r="J145" s="508" t="str">
        <f>IF(N("Si OR dessous = vrai, pas de box")+OR(
N("1 OR Tron ou CELL")+OR(AND(ROW(E145)&gt;=39,ROW(E145)&lt;=68),AND(ROW(E145)&gt;=99,ROW(E145)&lt;=128)),
N("2 Pas de système scanopy and range opy")+AND(ROW(E145)&gt;=219,ROW(E145)&lt;=248,SCANOPY_N_System&lt;2),
N("3 Avec LC")&amp;IF(ISERROR(LEFT(D144,SEARCH("00",D144)-3)),"",LEFT(D144,SEARCH("00",D144)-3))="LC"),"","☐ ")
&amp;
IF(N("If it's OPY, put OMount Manual instead")+
AND(ROW(D145)&gt;=219,ROW(D145)&lt;=248),
IF(SCANOPY_N_System&gt;1,
IF(SCANOPY_IndexScanner=1,"α" &amp; SCANOPY_CameraModel,SCANOPY_CameraModel_Mini) &amp; " Man",""),
IF(N("If it is Cell or Tron, Do not Show Scanner related items+No Video if LC")+OR(
AND(ROW(E145)&gt;=39,ROW(E145)&lt;=68),
AND(ROW(E145)&gt;=99,ROW(E145)&lt;=128)),
    "", IF(1=N("Si système a un scanner différent du Scanner populaire alors différent, sinon Scanner populaire")+AND(NOT(ISERROR(SEARCH("System",D144))),LEFT(D144,2)&lt;&gt;LEFT(PROD_MostPopularScanner,2)),
LEFT(D144,SEARCH("00",D144)-3),
PROD_MostPopularScanner) &amp; " Install Man"))</f>
        <v>☐ Scan. Install Man</v>
      </c>
      <c r="K145" s="507" t="str">
        <f>IF(N("If it is Cell or Tron or OPY, Do not Show Twain")+OR(AND(ROW(K145)&gt;=39,ROW(K145)&lt;=68),AND(ROW(K145)&gt;=99,ROW(K145)&lt;=128),AND(ROW(J145)&gt;=219,ROW(J145)&lt;=248)),"","☐ TWAIN")</f>
        <v>☐ TWAIN</v>
      </c>
      <c r="L145" s="508" t="str">
        <f>IF(N("Si OR dessous = vrai, pas de box")+OR(
N("1 OR Dendro+CELL, Tron+Folia,Cam")+OR(
AND(ROW(K145)&gt;=9,ROW(K145)&lt;=68),
AND(ROW(K145)&gt;=99,ROW(K145)&lt;=158),
AND(ROW(K145)&gt;=189,ROW(K145)&lt;=218)),
N("2 Pas de système scanopy and range opy")+AND(ROW(K145)&gt;=219,ROW(K145)&lt;=248,SCANOPY_N_System&lt;2),
N("3 Avec LC")&amp;IF(ISERROR(LEFT(J144,SEARCH("00",J144)-3)),"",LEFT(J144,SEARCH("00",J144)-3))="LC"),"","☐ ")
&amp;
IF(N("If it's OPY, put OMount Manual instead")+
AND(ROW(J145)&gt;=219,ROW(J145)&lt;=248),
IF(SCANOPY_N_System&gt;1,"OMount Man",""),
IF(N("If it is Dendro+CELL, Tron+Folia or Cam, Do not Show Scanner related items+No Video if LC")+OR(
AND(ROW(K145)&gt;=9,ROW(K145)&lt;=68),
AND(ROW(K145)&gt;=99,ROW(K145)&lt;=158),
AND(ROW(K145)&gt;=189,ROW(K145)&lt;=218),
IF(ISERROR(LEFT(J144,SEARCH("00",J144)-3)),"",LEFT(J144,SEARCH("00",J144)-3))="LC"),
    "", "Video " &amp; IF(1=N("Si système a un scanner différent du Scanner populaire alors différent, sinon Scanner populaire")+AND(NOT(ISERROR(SEARCH("System",J144))),LEFT(J144,2)&lt;&gt;LEFT(PROD_MostPopularScanner,2)),
LEFT(J144,SEARCH("00",J144)-3),
PROD_MostPopularScanner) &amp; " Install"))</f>
        <v/>
      </c>
      <c r="M145" s="507" t="str">
        <f>IF(N("If it is Dendro or Tron, Do not Show Color Analysis Video")+
OR(AND(ROW(L145)&gt;=9,ROW(L145)&lt;=38),
AND(ROW(L145)&gt;=99,ROW(L145)&lt;=128)), "","☐ Video ClrAna")</f>
        <v>☐ Video ClrAna</v>
      </c>
      <c r="N145" s="508" t="str">
        <f>IF(OR(INT((ROW(D145)-10)/30)+1=2,INT((ROW(D145)-10)/30)+1=4),"","☐ ")&amp;
IF(INT((ROW(D145)-10)/30)+1=1,"Scanner.cal","")&amp;
IF(INT((ROW(D145)-10)/30)+1=2,"","")&amp;
IF(INT((ROW(D145)-10)/30)+1=3,"Scanner.cal","")&amp;
IF(INT((ROW(D145)-10)/30)+1=4,"","")&amp;
IF(INT((ROW(D145)-10)/30)+1=5,"Scanner.cal","")&amp;
IF(INT((ROW(D145)-10)/30)+1=6,"Scanner.cal","")&amp;
IF(INT((ROW(D145)-10)/30)+1=7,"Scanner.cal","")&amp;
IF(INT((ROW(D145)-10)/30)+1=8,IF(SCANOPY_Camera, "Indiv", "Gen")&amp; " Lens.cal","")</f>
        <v>☐ Scanner.cal</v>
      </c>
      <c r="O145" s="395" t="str">
        <f>IF(AND(ROW(L145)&gt;=9,ROW(L145)&lt;=38),"☐ RegentTarget.blu","")</f>
        <v/>
      </c>
      <c r="P145" s="302"/>
      <c r="Q145" s="302"/>
    </row>
    <row r="146" spans="1:17" ht="24" customHeight="1" x14ac:dyDescent="0.2">
      <c r="A146" s="564" t="s">
        <v>269</v>
      </c>
      <c r="B146" s="311" t="s">
        <v>269</v>
      </c>
      <c r="C146" s="395" t="s">
        <v>159</v>
      </c>
      <c r="D146" s="395" t="str">
        <f xml:space="preserve"> IF(N("If it is Cam, Do not Show XL")+AND(ROW(D146)&gt;=189,ROW(D146)&lt;=218),"","☐ XL Man")</f>
        <v>☐ XL Man</v>
      </c>
      <c r="E146" s="570" t="str">
        <f>IF(N("Si OR dessous = vrai, pas de box")+OR(
N("1 OR Tron ou CELL")+OR(AND(ROW(K145)&gt;=39,ROW(K145)&lt;=68),AND(ROW(K145)&gt;=99,ROW(K145)&lt;=128)),
N("2 Pas de système scanopy and range opy")+AND(ROW(K145)&gt;=219,ROW(K145)&lt;=248,SCANOPY_N_System&lt;2),
N("3 Avec LC")&amp;IF(ISERROR(LEFT(J144,SEARCH("00",J144)-3)),"",LEFT(J144,SEARCH("00",J144)-3))="LC"),"","☐ ")
&amp;
IF(N("If it's OPY, put OMount Manual instead")+
AND(ROW(J145)&gt;=219,ROW(J145)&lt;=248),
IF(SCANOPY_N_System&gt;1,"OMount Man",""),
IF(N("If it is Cell or Tron, Do not Show Scanner related items")+OR(
AND(ROW(K145)&gt;=39,ROW(K145)&lt;=68),
AND(ROW(K145)&gt;=99,ROW(K145)&lt;=128)),
    "", IF(1=N("Si système a un scanner différent du Scanner populaire alors différent, sinon Scanner populaire")+AND(NOT(ISERROR(SEARCH("System",J144))),LEFT(J144,2)&lt;&gt;LEFT(PROD_MostPopularScanner,2)),
LEFT(J144,SEARCH("00",J144)-3),
PROD_MostPopularScanner) &amp; " Install Man"))</f>
        <v>☐ Scan. Install Man</v>
      </c>
      <c r="F146" s="509" t="s">
        <v>285</v>
      </c>
      <c r="G146" s="395" t="s">
        <v>284</v>
      </c>
      <c r="H146" s="572" t="s">
        <v>260</v>
      </c>
      <c r="I146" s="510"/>
      <c r="J146" s="395" t="s">
        <v>160</v>
      </c>
      <c r="K146" s="353"/>
      <c r="L146" s="572" t="s">
        <v>734</v>
      </c>
      <c r="M146" s="395"/>
      <c r="N146" s="509"/>
      <c r="O146" s="395"/>
      <c r="P146" s="302"/>
      <c r="Q146" s="302"/>
    </row>
    <row r="147" spans="1:17" ht="16.25" customHeight="1" x14ac:dyDescent="0.2">
      <c r="A147" s="552"/>
      <c r="B147" s="382"/>
      <c r="C147" s="829" t="str">
        <f>IF((FOLIA_N_UpgradeUpdate + FOLIA_N_Software ) = 2,"",LEFT(INDEX(FOLIA_SoftwareFullNames,FOLIA_IndexSoftware),FIND(" ",INDEX(FOLIA_SoftwareFullNames,FOLIA_IndexSoftware),FIND(" ",INDEX(FOLIA_SoftwareFullNames,FOLIA_IndexSoftware))+1)) &amp;
FOLIA_YearMostRecent )</f>
        <v/>
      </c>
      <c r="D147" s="829"/>
      <c r="E147" s="390"/>
      <c r="F147" s="390"/>
      <c r="G147" s="361" t="str">
        <f>IF(FOLIA_OptionXL*(FOLIA_N_Software+FOLIA_N_UpgradeUpdate-2)&gt;=((ROW(G147)-ROW($G$129))/4+1),"XLFOLIA "&amp; FOLIA_YearMostRecent,"")</f>
        <v/>
      </c>
      <c r="H147" s="345"/>
      <c r="I147" s="345"/>
      <c r="J147" s="361" t="str">
        <f>IF(FOLIA_N_System-1&gt;=((ROW(G147)-ROW($G$129))/4+1),IF(FOLIA_IndexScanner=1,"STD4800",IF(FOLIA_IndexScanner=2,"LA2400","LC4800P")) &amp; " System"&amp; IF(AND(FOLIA_ClientWithOrWithoutScanner=2,FOLIA_N_System&gt;1)," Sans Scanner"," Avec Scanner"),
IF(AND(FOLIA_N_Software&gt;FOLIA_N_System,FOLIA_N_Software-1&gt;((ROW(G147)-ROW($G$129))/4+1)),IF(N_SystemTotal=0,"Software Only",IF(N_STDScanners+N_LAScanners+N_LCScanners=0,"Software Sans Scanner","Software Avec Scanner")),
IF(FOLIA_N_UpgradeUpdate-1&gt;=((ROW(G147)-ROW($G$129))/4+1)-(MAX(FOLIA_N_System,FOLIA_N_Software)-1),"Update","")))</f>
        <v/>
      </c>
      <c r="K147" s="345"/>
      <c r="L147" s="344"/>
      <c r="M147" s="344"/>
      <c r="N147" s="344"/>
      <c r="O147" s="302"/>
      <c r="P147" s="302"/>
      <c r="Q147" s="302"/>
    </row>
    <row r="148" spans="1:17" ht="24" customHeight="1" x14ac:dyDescent="0.2">
      <c r="A148" s="564" t="s">
        <v>268</v>
      </c>
      <c r="B148" s="375" t="s">
        <v>268</v>
      </c>
      <c r="C148" s="507" t="str">
        <f>"☐☐ Win" &amp;
IF(INT((ROW(D148)-10)/30)+1=1,"DEN","")&amp;
IF(INT((ROW(D148)-10)/30)+1=2,"CEL","")&amp;
IF(INT((ROW(D148)-10)/30)+1=3,"RHI","")&amp;
IF(INT((ROW(D148)-10)/30)+1=4,"RT","")&amp;
IF(INT((ROW(D148)-10)/30)+1=5,"FOL","")&amp;
IF(INT((ROW(D148)-10)/30)+1=6,"SEE","")&amp;
IF(INT((ROW(D148)-10)/30)+1=7,"CAM","")&amp;
IF(INT((ROW(D148)-10)/30)+1=8,"SCA","") &amp; ".exe"</f>
        <v>☐☐ WinFOL.exe</v>
      </c>
      <c r="D148" s="507" t="str">
        <f xml:space="preserve"> IF(N("If it is Cam, Do not Show XL")+AND(ROW(D148)&gt;=189,ROW(D148)&lt;=218),"","☐ XL" &amp;
IF(INT((ROW(D148)-10)/30)+1=1,"STEM","")&amp;
IF(INT((ROW(D148)-10)/30)+1=2,"Cell","")&amp;
IF(INT((ROW(D148)-10)/30)+1=3,"Rhizo","")&amp;
IF(INT((ROW(D148)-10)/30)+1=4,"RhizoT","")&amp;
IF(INT((ROW(D148)-10)/30)+1=5,"Folia","")&amp;
IF(INT((ROW(D148)-10)/30)+1=6,"Seedle","")&amp;
IF(INT((ROW(D148)-10)/30)+1=7,"Cam","")&amp;
IF(INT((ROW(D148)-10)/30)+1=8,"Scanopy","") &amp; ".xls")</f>
        <v>☐ XLFolia.xls</v>
      </c>
      <c r="E148" s="507" t="s">
        <v>309</v>
      </c>
      <c r="F148" s="508" t="s">
        <v>159</v>
      </c>
      <c r="G148" s="507" t="str">
        <f xml:space="preserve"> IF(N("If it is Cam, Do not Show XL")+AND(ROW(G148)&gt;=189,ROW(G148)&lt;=218),"","☐ XL Man")</f>
        <v>☐ XL Man</v>
      </c>
      <c r="H148" s="508" t="s">
        <v>290</v>
      </c>
      <c r="I148" s="395" t="s">
        <v>284</v>
      </c>
      <c r="J148" s="508" t="str">
        <f>IF(N("Si OR dessous = vrai, pas de box")+OR(
N("1 OR Tron ou CELL")+OR(AND(ROW(E148)&gt;=39,ROW(E148)&lt;=68),AND(ROW(E148)&gt;=99,ROW(E148)&lt;=128)),
N("2 Pas de système scanopy and range opy")+AND(ROW(E148)&gt;=219,ROW(E148)&lt;=248,SCANOPY_N_System&lt;2),
N("3 Avec LC")&amp;IF(ISERROR(LEFT(D147,SEARCH("00",D147)-3)),"",LEFT(D147,SEARCH("00",D147)-3))="LC"),"","☐ ")
&amp;
IF(N("If it's OPY, put OMount Manual instead")+
AND(ROW(D148)&gt;=219,ROW(D148)&lt;=248),
IF(SCANOPY_N_System&gt;1,
IF(SCANOPY_IndexScanner=1,"α" &amp; SCANOPY_CameraModel,SCANOPY_CameraModel_Mini) &amp; " Man",""),
IF(N("If it is Cell or Tron, Do not Show Scanner related items+No Video if LC")+OR(
AND(ROW(E148)&gt;=39,ROW(E148)&lt;=68),
AND(ROW(E148)&gt;=99,ROW(E148)&lt;=128)),
    "", IF(1=N("Si système a un scanner différent du Scanner populaire alors différent, sinon Scanner populaire")+AND(NOT(ISERROR(SEARCH("System",D147))),LEFT(D147,2)&lt;&gt;LEFT(PROD_MostPopularScanner,2)),
LEFT(D147,SEARCH("00",D147)-3),
PROD_MostPopularScanner) &amp; " Install Man"))</f>
        <v>☐ Scan. Install Man</v>
      </c>
      <c r="K148" s="507" t="str">
        <f>IF(N("If it is Cell or Tron or OPY, Do not Show Twain")+OR(AND(ROW(K148)&gt;=39,ROW(K148)&lt;=68),AND(ROW(K148)&gt;=99,ROW(K148)&lt;=128),AND(ROW(J148)&gt;=219,ROW(J148)&lt;=248)),"","☐ TWAIN")</f>
        <v>☐ TWAIN</v>
      </c>
      <c r="L148" s="508" t="str">
        <f>IF(N("Si OR dessous = vrai, pas de box")+OR(
N("1 OR Dendro+CELL, Tron+Folia,Cam")+OR(
AND(ROW(K148)&gt;=9,ROW(K148)&lt;=68),
AND(ROW(K148)&gt;=99,ROW(K148)&lt;=158),
AND(ROW(K148)&gt;=189,ROW(K148)&lt;=218)),
N("2 Pas de système scanopy and range opy")+AND(ROW(K148)&gt;=219,ROW(K148)&lt;=248,SCANOPY_N_System&lt;2),
N("3 Avec LC")&amp;IF(ISERROR(LEFT(J147,SEARCH("00",J147)-3)),"",LEFT(J147,SEARCH("00",J147)-3))="LC"),"","☐ ")
&amp;
IF(N("If it's OPY, put OMount Manual instead")+
AND(ROW(J148)&gt;=219,ROW(J148)&lt;=248),
IF(SCANOPY_N_System&gt;1,"OMount Man",""),
IF(N("If it is Dendro+CELL, Tron+Folia or Cam, Do not Show Scanner related items+No Video if LC")+OR(
AND(ROW(K148)&gt;=9,ROW(K148)&lt;=68),
AND(ROW(K148)&gt;=99,ROW(K148)&lt;=158),
AND(ROW(K148)&gt;=189,ROW(K148)&lt;=218),
IF(ISERROR(LEFT(J147,SEARCH("00",J147)-3)),"",LEFT(J147,SEARCH("00",J147)-3))="LC"),
    "", "Video " &amp; IF(1=N("Si système a un scanner différent du Scanner populaire alors différent, sinon Scanner populaire")+AND(NOT(ISERROR(SEARCH("System",J147))),LEFT(J147,2)&lt;&gt;LEFT(PROD_MostPopularScanner,2)),
LEFT(J147,SEARCH("00",J147)-3),
PROD_MostPopularScanner) &amp; " Install"))</f>
        <v/>
      </c>
      <c r="M148" s="507" t="str">
        <f>IF(N("If it is Dendro or Tron, Do not Show Color Analysis Video")+
OR(AND(ROW(L148)&gt;=9,ROW(L148)&lt;=38),
AND(ROW(L148)&gt;=99,ROW(L148)&lt;=128)), "","☐ Video ClrAna")</f>
        <v>☐ Video ClrAna</v>
      </c>
      <c r="N148" s="508" t="str">
        <f>IF(OR(INT((ROW(D148)-10)/30)+1=2,INT((ROW(D148)-10)/30)+1=4),"","☐ ")&amp;
IF(INT((ROW(D148)-10)/30)+1=1,"Scanner.cal","")&amp;
IF(INT((ROW(D148)-10)/30)+1=2,"","")&amp;
IF(INT((ROW(D148)-10)/30)+1=3,"Scanner.cal","")&amp;
IF(INT((ROW(D148)-10)/30)+1=4,"","")&amp;
IF(INT((ROW(D148)-10)/30)+1=5,"Scanner.cal","")&amp;
IF(INT((ROW(D148)-10)/30)+1=6,"Scanner.cal","")&amp;
IF(INT((ROW(D148)-10)/30)+1=7,"Scanner.cal","")&amp;
IF(INT((ROW(D148)-10)/30)+1=8,IF(SCANOPY_Camera, "Indiv", "Gen")&amp; " Lens.cal","")</f>
        <v>☐ Scanner.cal</v>
      </c>
      <c r="O148" s="395" t="str">
        <f>IF(AND(ROW(L148)&gt;=9,ROW(L148)&lt;=38),"☐ RegentTarget.blu","")</f>
        <v/>
      </c>
      <c r="P148" s="302"/>
      <c r="Q148" s="302"/>
    </row>
    <row r="149" spans="1:17" ht="24" customHeight="1" x14ac:dyDescent="0.2">
      <c r="A149" s="564" t="s">
        <v>269</v>
      </c>
      <c r="B149" s="311" t="s">
        <v>269</v>
      </c>
      <c r="C149" s="395" t="s">
        <v>159</v>
      </c>
      <c r="D149" s="395" t="str">
        <f xml:space="preserve"> IF(N("If it is Cam, Do not Show XL")+AND(ROW(D149)&gt;=189,ROW(D149)&lt;=218),"","☐ XL Man")</f>
        <v>☐ XL Man</v>
      </c>
      <c r="E149" s="570" t="str">
        <f>IF(N("Si OR dessous = vrai, pas de box")+OR(
N("1 OR Tron ou CELL")+OR(AND(ROW(K148)&gt;=39,ROW(K148)&lt;=68),AND(ROW(K148)&gt;=99,ROW(K148)&lt;=128)),
N("2 Pas de système scanopy and range opy")+AND(ROW(K148)&gt;=219,ROW(K148)&lt;=248,SCANOPY_N_System&lt;2),
N("3 Avec LC")&amp;IF(ISERROR(LEFT(J147,SEARCH("00",J147)-3)),"",LEFT(J147,SEARCH("00",J147)-3))="LC"),"","☐ ")
&amp;
IF(N("If it's OPY, put OMount Manual instead")+
AND(ROW(J148)&gt;=219,ROW(J148)&lt;=248),
IF(SCANOPY_N_System&gt;1,"OMount Man",""),
IF(N("If it is Cell or Tron, Do not Show Scanner related items")+OR(
AND(ROW(K148)&gt;=39,ROW(K148)&lt;=68),
AND(ROW(K148)&gt;=99,ROW(K148)&lt;=128)),
    "", IF(1=N("Si système a un scanner différent du Scanner populaire alors différent, sinon Scanner populaire")+AND(NOT(ISERROR(SEARCH("System",J147))),LEFT(J147,2)&lt;&gt;LEFT(PROD_MostPopularScanner,2)),
LEFT(J147,SEARCH("00",J147)-3),
PROD_MostPopularScanner) &amp; " Install Man"))</f>
        <v>☐ Scan. Install Man</v>
      </c>
      <c r="F149" s="509" t="s">
        <v>285</v>
      </c>
      <c r="G149" s="395" t="s">
        <v>284</v>
      </c>
      <c r="H149" s="572" t="s">
        <v>260</v>
      </c>
      <c r="I149" s="510"/>
      <c r="J149" s="395" t="s">
        <v>160</v>
      </c>
      <c r="K149" s="353"/>
      <c r="L149" s="572" t="s">
        <v>734</v>
      </c>
      <c r="M149" s="395"/>
      <c r="N149" s="509"/>
      <c r="O149" s="395"/>
      <c r="P149" s="302"/>
      <c r="Q149" s="302"/>
    </row>
    <row r="150" spans="1:17" ht="16.25" customHeight="1" x14ac:dyDescent="0.2">
      <c r="A150" s="552"/>
      <c r="B150" s="382"/>
      <c r="C150" s="829" t="str">
        <f>IF((FOLIA_N_UpgradeUpdate + FOLIA_N_Software ) = 2,"",LEFT(INDEX(FOLIA_SoftwareFullNames,FOLIA_IndexSoftware),FIND(" ",INDEX(FOLIA_SoftwareFullNames,FOLIA_IndexSoftware),FIND(" ",INDEX(FOLIA_SoftwareFullNames,FOLIA_IndexSoftware))+1)) &amp;
FOLIA_YearMostRecent )</f>
        <v/>
      </c>
      <c r="D150" s="829"/>
      <c r="E150" s="390"/>
      <c r="F150" s="390"/>
      <c r="G150" s="361" t="str">
        <f>IF(FOLIA_OptionXL*(FOLIA_N_Software+FOLIA_N_UpgradeUpdate-2)&gt;=((ROW(G150)-ROW($G$129))/4+1),"XLFOLIA "&amp; FOLIA_YearMostRecent,"")</f>
        <v/>
      </c>
      <c r="H150" s="345"/>
      <c r="I150" s="345"/>
      <c r="J150" s="361" t="str">
        <f>IF(FOLIA_N_System-1&gt;=((ROW(G150)-ROW($G$129))/4+1),IF(FOLIA_IndexScanner=1,"STD4800",IF(FOLIA_IndexScanner=2,"LA2400","LC4800P")) &amp; " System"&amp; IF(AND(FOLIA_ClientWithOrWithoutScanner=2,FOLIA_N_System&gt;1)," Sans Scanner"," Avec Scanner"),
IF(AND(FOLIA_N_Software&gt;FOLIA_N_System,FOLIA_N_Software-1&gt;((ROW(G150)-ROW($G$129))/4+1)),IF(N_SystemTotal=0,"Software Only",IF(N_STDScanners+N_LAScanners+N_LCScanners=0,"Software Sans Scanner","Software Avec Scanner")),
IF(FOLIA_N_UpgradeUpdate-1&gt;=((ROW(G150)-ROW($G$129))/4+1)-(MAX(FOLIA_N_System,FOLIA_N_Software)-1),"Update","")))</f>
        <v/>
      </c>
      <c r="K150" s="345"/>
      <c r="L150" s="344"/>
      <c r="M150" s="344"/>
      <c r="N150" s="344"/>
      <c r="O150" s="302"/>
      <c r="P150" s="302"/>
      <c r="Q150" s="302"/>
    </row>
    <row r="151" spans="1:17" ht="24" customHeight="1" x14ac:dyDescent="0.2">
      <c r="A151" s="564" t="s">
        <v>268</v>
      </c>
      <c r="B151" s="375" t="s">
        <v>268</v>
      </c>
      <c r="C151" s="507" t="str">
        <f>"☐☐ Win" &amp;
IF(INT((ROW(D151)-10)/30)+1=1,"DEN","")&amp;
IF(INT((ROW(D151)-10)/30)+1=2,"CEL","")&amp;
IF(INT((ROW(D151)-10)/30)+1=3,"RHI","")&amp;
IF(INT((ROW(D151)-10)/30)+1=4,"RT","")&amp;
IF(INT((ROW(D151)-10)/30)+1=5,"FOL","")&amp;
IF(INT((ROW(D151)-10)/30)+1=6,"SEE","")&amp;
IF(INT((ROW(D151)-10)/30)+1=7,"CAM","")&amp;
IF(INT((ROW(D151)-10)/30)+1=8,"SCA","") &amp; ".exe"</f>
        <v>☐☐ WinFOL.exe</v>
      </c>
      <c r="D151" s="507" t="str">
        <f xml:space="preserve"> IF(N("If it is Cam, Do not Show XL")+AND(ROW(D151)&gt;=189,ROW(D151)&lt;=218),"","☐ XL" &amp;
IF(INT((ROW(D151)-10)/30)+1=1,"STEM","")&amp;
IF(INT((ROW(D151)-10)/30)+1=2,"Cell","")&amp;
IF(INT((ROW(D151)-10)/30)+1=3,"Rhizo","")&amp;
IF(INT((ROW(D151)-10)/30)+1=4,"RhizoT","")&amp;
IF(INT((ROW(D151)-10)/30)+1=5,"Folia","")&amp;
IF(INT((ROW(D151)-10)/30)+1=6,"Seedle","")&amp;
IF(INT((ROW(D151)-10)/30)+1=7,"Cam","")&amp;
IF(INT((ROW(D151)-10)/30)+1=8,"Scanopy","") &amp; ".xls")</f>
        <v>☐ XLFolia.xls</v>
      </c>
      <c r="E151" s="507" t="s">
        <v>309</v>
      </c>
      <c r="F151" s="508" t="s">
        <v>159</v>
      </c>
      <c r="G151" s="507" t="str">
        <f xml:space="preserve"> IF(N("If it is Cam, Do not Show XL")+AND(ROW(G151)&gt;=189,ROW(G151)&lt;=218),"","☐ XL Man")</f>
        <v>☐ XL Man</v>
      </c>
      <c r="H151" s="508" t="s">
        <v>290</v>
      </c>
      <c r="I151" s="395" t="s">
        <v>284</v>
      </c>
      <c r="J151" s="508" t="str">
        <f>IF(N("Si OR dessous = vrai, pas de box")+OR(
N("1 OR Tron ou CELL")+OR(AND(ROW(E151)&gt;=39,ROW(E151)&lt;=68),AND(ROW(E151)&gt;=99,ROW(E151)&lt;=128)),
N("2 Pas de système scanopy and range opy")+AND(ROW(E151)&gt;=219,ROW(E151)&lt;=248,SCANOPY_N_System&lt;2),
N("3 Avec LC")&amp;IF(ISERROR(LEFT(D150,SEARCH("00",D150)-3)),"",LEFT(D150,SEARCH("00",D150)-3))="LC"),"","☐ ")
&amp;
IF(N("If it's OPY, put OMount Manual instead")+
AND(ROW(D151)&gt;=219,ROW(D151)&lt;=248),
IF(SCANOPY_N_System&gt;1,
IF(SCANOPY_IndexScanner=1,"α" &amp; SCANOPY_CameraModel,SCANOPY_CameraModel_Mini) &amp; " Man",""),
IF(N("If it is Cell or Tron, Do not Show Scanner related items+No Video if LC")+OR(
AND(ROW(E151)&gt;=39,ROW(E151)&lt;=68),
AND(ROW(E151)&gt;=99,ROW(E151)&lt;=128)),
    "", IF(1=N("Si système a un scanner différent du Scanner populaire alors différent, sinon Scanner populaire")+AND(NOT(ISERROR(SEARCH("System",D150))),LEFT(D150,2)&lt;&gt;LEFT(PROD_MostPopularScanner,2)),
LEFT(D150,SEARCH("00",D150)-3),
PROD_MostPopularScanner) &amp; " Install Man"))</f>
        <v>☐ Scan. Install Man</v>
      </c>
      <c r="K151" s="507" t="str">
        <f>IF(N("If it is Cell or Tron or OPY, Do not Show Twain")+OR(AND(ROW(K151)&gt;=39,ROW(K151)&lt;=68),AND(ROW(K151)&gt;=99,ROW(K151)&lt;=128),AND(ROW(J151)&gt;=219,ROW(J151)&lt;=248)),"","☐ TWAIN")</f>
        <v>☐ TWAIN</v>
      </c>
      <c r="L151" s="508" t="str">
        <f>IF(N("Si OR dessous = vrai, pas de box")+OR(
N("1 OR Dendro+CELL, Tron+Folia,Cam")+OR(
AND(ROW(K151)&gt;=9,ROW(K151)&lt;=68),
AND(ROW(K151)&gt;=99,ROW(K151)&lt;=158),
AND(ROW(K151)&gt;=189,ROW(K151)&lt;=218)),
N("2 Pas de système scanopy and range opy")+AND(ROW(K151)&gt;=219,ROW(K151)&lt;=248,SCANOPY_N_System&lt;2),
N("3 Avec LC")&amp;IF(ISERROR(LEFT(J150,SEARCH("00",J150)-3)),"",LEFT(J150,SEARCH("00",J150)-3))="LC"),"","☐ ")
&amp;
IF(N("If it's OPY, put OMount Manual instead")+
AND(ROW(J151)&gt;=219,ROW(J151)&lt;=248),
IF(SCANOPY_N_System&gt;1,"OMount Man",""),
IF(N("If it is Dendro+CELL, Tron+Folia or Cam, Do not Show Scanner related items+No Video if LC")+OR(
AND(ROW(K151)&gt;=9,ROW(K151)&lt;=68),
AND(ROW(K151)&gt;=99,ROW(K151)&lt;=158),
AND(ROW(K151)&gt;=189,ROW(K151)&lt;=218),
IF(ISERROR(LEFT(J150,SEARCH("00",J150)-3)),"",LEFT(J150,SEARCH("00",J150)-3))="LC"),
    "", "Video " &amp; IF(1=N("Si système a un scanner différent du Scanner populaire alors différent, sinon Scanner populaire")+AND(NOT(ISERROR(SEARCH("System",J150))),LEFT(J150,2)&lt;&gt;LEFT(PROD_MostPopularScanner,2)),
LEFT(J150,SEARCH("00",J150)-3),
PROD_MostPopularScanner) &amp; " Install"))</f>
        <v/>
      </c>
      <c r="M151" s="507" t="str">
        <f>IF(N("If it is Dendro or Tron, Do not Show Color Analysis Video")+
OR(AND(ROW(L151)&gt;=9,ROW(L151)&lt;=38),
AND(ROW(L151)&gt;=99,ROW(L151)&lt;=128)), "","☐ Video ClrAna")</f>
        <v>☐ Video ClrAna</v>
      </c>
      <c r="N151" s="508" t="str">
        <f>IF(OR(INT((ROW(D151)-10)/30)+1=2,INT((ROW(D151)-10)/30)+1=4),"","☐ ")&amp;
IF(INT((ROW(D151)-10)/30)+1=1,"Scanner.cal","")&amp;
IF(INT((ROW(D151)-10)/30)+1=2,"","")&amp;
IF(INT((ROW(D151)-10)/30)+1=3,"Scanner.cal","")&amp;
IF(INT((ROW(D151)-10)/30)+1=4,"","")&amp;
IF(INT((ROW(D151)-10)/30)+1=5,"Scanner.cal","")&amp;
IF(INT((ROW(D151)-10)/30)+1=6,"Scanner.cal","")&amp;
IF(INT((ROW(D151)-10)/30)+1=7,"Scanner.cal","")&amp;
IF(INT((ROW(D151)-10)/30)+1=8,IF(SCANOPY_Camera, "Indiv", "Gen")&amp; " Lens.cal","")</f>
        <v>☐ Scanner.cal</v>
      </c>
      <c r="O151" s="395" t="str">
        <f>IF(AND(ROW(L151)&gt;=9,ROW(L151)&lt;=38),"☐ RegentTarget.blu","")</f>
        <v/>
      </c>
      <c r="P151" s="302"/>
      <c r="Q151" s="302"/>
    </row>
    <row r="152" spans="1:17" ht="24" customHeight="1" x14ac:dyDescent="0.2">
      <c r="A152" s="564" t="s">
        <v>269</v>
      </c>
      <c r="B152" s="311" t="s">
        <v>269</v>
      </c>
      <c r="C152" s="395" t="s">
        <v>159</v>
      </c>
      <c r="D152" s="395" t="str">
        <f xml:space="preserve"> IF(N("If it is Cam, Do not Show XL")+AND(ROW(D152)&gt;=189,ROW(D152)&lt;=218),"","☐ XL Man")</f>
        <v>☐ XL Man</v>
      </c>
      <c r="E152" s="570" t="str">
        <f>IF(N("Si OR dessous = vrai, pas de box")+OR(
N("1 OR Tron ou CELL")+OR(AND(ROW(K151)&gt;=39,ROW(K151)&lt;=68),AND(ROW(K151)&gt;=99,ROW(K151)&lt;=128)),
N("2 Pas de système scanopy and range opy")+AND(ROW(K151)&gt;=219,ROW(K151)&lt;=248,SCANOPY_N_System&lt;2),
N("3 Avec LC")&amp;IF(ISERROR(LEFT(J150,SEARCH("00",J150)-3)),"",LEFT(J150,SEARCH("00",J150)-3))="LC"),"","☐ ")
&amp;
IF(N("If it's OPY, put OMount Manual instead")+
AND(ROW(J151)&gt;=219,ROW(J151)&lt;=248),
IF(SCANOPY_N_System&gt;1,"OMount Man",""),
IF(N("If it is Cell or Tron, Do not Show Scanner related items")+OR(
AND(ROW(K151)&gt;=39,ROW(K151)&lt;=68),
AND(ROW(K151)&gt;=99,ROW(K151)&lt;=128)),
    "", IF(1=N("Si système a un scanner différent du Scanner populaire alors différent, sinon Scanner populaire")+AND(NOT(ISERROR(SEARCH("System",J150))),LEFT(J150,2)&lt;&gt;LEFT(PROD_MostPopularScanner,2)),
LEFT(J150,SEARCH("00",J150)-3),
PROD_MostPopularScanner) &amp; " Install Man"))</f>
        <v>☐ Scan. Install Man</v>
      </c>
      <c r="F152" s="509" t="s">
        <v>285</v>
      </c>
      <c r="G152" s="395" t="s">
        <v>284</v>
      </c>
      <c r="H152" s="572" t="s">
        <v>260</v>
      </c>
      <c r="I152" s="510"/>
      <c r="J152" s="395" t="s">
        <v>160</v>
      </c>
      <c r="K152" s="353"/>
      <c r="L152" s="572" t="s">
        <v>734</v>
      </c>
      <c r="M152" s="395"/>
      <c r="N152" s="509"/>
      <c r="O152" s="395"/>
      <c r="P152" s="302"/>
      <c r="Q152" s="302"/>
    </row>
    <row r="153" spans="1:17" ht="16.25" customHeight="1" x14ac:dyDescent="0.2">
      <c r="A153" s="552"/>
      <c r="B153" s="382"/>
      <c r="C153" s="829" t="str">
        <f>IF((FOLIA_N_UpgradeUpdate + FOLIA_N_Software ) = 2,"",LEFT(INDEX(FOLIA_SoftwareFullNames,FOLIA_IndexSoftware),FIND(" ",INDEX(FOLIA_SoftwareFullNames,FOLIA_IndexSoftware),FIND(" ",INDEX(FOLIA_SoftwareFullNames,FOLIA_IndexSoftware))+1)) &amp;
FOLIA_YearMostRecent )</f>
        <v/>
      </c>
      <c r="D153" s="829"/>
      <c r="E153" s="390"/>
      <c r="F153" s="390"/>
      <c r="G153" s="361" t="str">
        <f>IF(FOLIA_OptionXL*(FOLIA_N_Software+FOLIA_N_UpgradeUpdate-2)&gt;=((ROW(G153)-ROW($G$129))/4+1),"XLFOLIA "&amp; FOLIA_YearMostRecent,"")</f>
        <v/>
      </c>
      <c r="H153" s="345"/>
      <c r="I153" s="345"/>
      <c r="J153" s="361" t="str">
        <f>IF(FOLIA_N_System-1&gt;=((ROW(G153)-ROW($G$129))/4+1),IF(FOLIA_IndexScanner=1,"STD4800",IF(FOLIA_IndexScanner=2,"LA2400","LC4800P")) &amp; " System"&amp; IF(AND(FOLIA_ClientWithOrWithoutScanner=2,FOLIA_N_System&gt;1)," Sans Scanner"," Avec Scanner"),
IF(AND(FOLIA_N_Software&gt;FOLIA_N_System,FOLIA_N_Software-1&gt;((ROW(G153)-ROW($G$129))/4+1)),IF(N_SystemTotal=0,"Software Only",IF(N_STDScanners+N_LAScanners+N_LCScanners=0,"Software Sans Scanner","Software Avec Scanner")),
IF(FOLIA_N_UpgradeUpdate-1&gt;=((ROW(G153)-ROW($G$129))/4+1)-(MAX(FOLIA_N_System,FOLIA_N_Software)-1),"Update","")))</f>
        <v/>
      </c>
      <c r="K153" s="345"/>
      <c r="L153" s="344"/>
      <c r="M153" s="344"/>
      <c r="N153" s="344"/>
      <c r="O153" s="302"/>
      <c r="P153" s="302"/>
      <c r="Q153" s="302"/>
    </row>
    <row r="154" spans="1:17" ht="24" customHeight="1" x14ac:dyDescent="0.2">
      <c r="A154" s="564" t="s">
        <v>268</v>
      </c>
      <c r="B154" s="375" t="s">
        <v>268</v>
      </c>
      <c r="C154" s="507" t="str">
        <f>"☐☐ Win" &amp;
IF(INT((ROW(D154)-10)/30)+1=1,"DEN","")&amp;
IF(INT((ROW(D154)-10)/30)+1=2,"CEL","")&amp;
IF(INT((ROW(D154)-10)/30)+1=3,"RHI","")&amp;
IF(INT((ROW(D154)-10)/30)+1=4,"RT","")&amp;
IF(INT((ROW(D154)-10)/30)+1=5,"FOL","")&amp;
IF(INT((ROW(D154)-10)/30)+1=6,"SEE","")&amp;
IF(INT((ROW(D154)-10)/30)+1=7,"CAM","")&amp;
IF(INT((ROW(D154)-10)/30)+1=8,"SCA","") &amp; ".exe"</f>
        <v>☐☐ WinFOL.exe</v>
      </c>
      <c r="D154" s="507" t="str">
        <f xml:space="preserve"> IF(N("If it is Cam, Do not Show XL")+AND(ROW(D154)&gt;=189,ROW(D154)&lt;=218),"","☐ XL" &amp;
IF(INT((ROW(D154)-10)/30)+1=1,"STEM","")&amp;
IF(INT((ROW(D154)-10)/30)+1=2,"Cell","")&amp;
IF(INT((ROW(D154)-10)/30)+1=3,"Rhizo","")&amp;
IF(INT((ROW(D154)-10)/30)+1=4,"RhizoT","")&amp;
IF(INT((ROW(D154)-10)/30)+1=5,"Folia","")&amp;
IF(INT((ROW(D154)-10)/30)+1=6,"Seedle","")&amp;
IF(INT((ROW(D154)-10)/30)+1=7,"Cam","")&amp;
IF(INT((ROW(D154)-10)/30)+1=8,"Scanopy","") &amp; ".xls")</f>
        <v>☐ XLFolia.xls</v>
      </c>
      <c r="E154" s="507" t="s">
        <v>309</v>
      </c>
      <c r="F154" s="508" t="s">
        <v>159</v>
      </c>
      <c r="G154" s="507" t="str">
        <f xml:space="preserve"> IF(N("If it is Cam, Do not Show XL")+AND(ROW(G154)&gt;=189,ROW(G154)&lt;=218),"","☐ XL Man")</f>
        <v>☐ XL Man</v>
      </c>
      <c r="H154" s="508" t="s">
        <v>290</v>
      </c>
      <c r="I154" s="395" t="s">
        <v>284</v>
      </c>
      <c r="J154" s="508" t="str">
        <f>IF(N("Si OR dessous = vrai, pas de box")+OR(
N("1 OR Tron ou CELL")+OR(AND(ROW(E154)&gt;=39,ROW(E154)&lt;=68),AND(ROW(E154)&gt;=99,ROW(E154)&lt;=128)),
N("2 Pas de système scanopy and range opy")+AND(ROW(E154)&gt;=219,ROW(E154)&lt;=248,SCANOPY_N_System&lt;2),
N("3 Avec LC")&amp;IF(ISERROR(LEFT(D153,SEARCH("00",D153)-3)),"",LEFT(D153,SEARCH("00",D153)-3))="LC"),"","☐ ")
&amp;
IF(N("If it's OPY, put OMount Manual instead")+
AND(ROW(D154)&gt;=219,ROW(D154)&lt;=248),
IF(SCANOPY_N_System&gt;1,
IF(SCANOPY_IndexScanner=1,"α" &amp; SCANOPY_CameraModel,SCANOPY_CameraModel_Mini) &amp; " Man",""),
IF(N("If it is Cell or Tron, Do not Show Scanner related items+No Video if LC")+OR(
AND(ROW(E154)&gt;=39,ROW(E154)&lt;=68),
AND(ROW(E154)&gt;=99,ROW(E154)&lt;=128)),
    "", IF(1=N("Si système a un scanner différent du Scanner populaire alors différent, sinon Scanner populaire")+AND(NOT(ISERROR(SEARCH("System",D153))),LEFT(D153,2)&lt;&gt;LEFT(PROD_MostPopularScanner,2)),
LEFT(D153,SEARCH("00",D153)-3),
PROD_MostPopularScanner) &amp; " Install Man"))</f>
        <v>☐ Scan. Install Man</v>
      </c>
      <c r="K154" s="507" t="str">
        <f>IF(N("If it is Cell or Tron or OPY, Do not Show Twain")+OR(AND(ROW(K154)&gt;=39,ROW(K154)&lt;=68),AND(ROW(K154)&gt;=99,ROW(K154)&lt;=128),AND(ROW(J154)&gt;=219,ROW(J154)&lt;=248)),"","☐ TWAIN")</f>
        <v>☐ TWAIN</v>
      </c>
      <c r="L154" s="508" t="str">
        <f>IF(N("Si OR dessous = vrai, pas de box")+OR(
N("1 OR Dendro+CELL, Tron+Folia,Cam")+OR(
AND(ROW(K154)&gt;=9,ROW(K154)&lt;=68),
AND(ROW(K154)&gt;=99,ROW(K154)&lt;=158),
AND(ROW(K154)&gt;=189,ROW(K154)&lt;=218)),
N("2 Pas de système scanopy and range opy")+AND(ROW(K154)&gt;=219,ROW(K154)&lt;=248,SCANOPY_N_System&lt;2),
N("3 Avec LC")&amp;IF(ISERROR(LEFT(J153,SEARCH("00",J153)-3)),"",LEFT(J153,SEARCH("00",J153)-3))="LC"),"","☐ ")
&amp;
IF(N("If it's OPY, put OMount Manual instead")+
AND(ROW(J154)&gt;=219,ROW(J154)&lt;=248),
IF(SCANOPY_N_System&gt;1,"OMount Man",""),
IF(N("If it is Dendro+CELL, Tron+Folia or Cam, Do not Show Scanner related items+No Video if LC")+OR(
AND(ROW(K154)&gt;=9,ROW(K154)&lt;=68),
AND(ROW(K154)&gt;=99,ROW(K154)&lt;=158),
AND(ROW(K154)&gt;=189,ROW(K154)&lt;=218),
IF(ISERROR(LEFT(J153,SEARCH("00",J153)-3)),"",LEFT(J153,SEARCH("00",J153)-3))="LC"),
    "", "Video " &amp; IF(1=N("Si système a un scanner différent du Scanner populaire alors différent, sinon Scanner populaire")+AND(NOT(ISERROR(SEARCH("System",J153))),LEFT(J153,2)&lt;&gt;LEFT(PROD_MostPopularScanner,2)),
LEFT(J153,SEARCH("00",J153)-3),
PROD_MostPopularScanner) &amp; " Install"))</f>
        <v/>
      </c>
      <c r="M154" s="507" t="str">
        <f>IF(N("If it is Dendro or Tron, Do not Show Color Analysis Video")+
OR(AND(ROW(L154)&gt;=9,ROW(L154)&lt;=38),
AND(ROW(L154)&gt;=99,ROW(L154)&lt;=128)), "","☐ Video ClrAna")</f>
        <v>☐ Video ClrAna</v>
      </c>
      <c r="N154" s="508" t="str">
        <f>IF(OR(INT((ROW(D154)-10)/30)+1=2,INT((ROW(D154)-10)/30)+1=4),"","☐ ")&amp;
IF(INT((ROW(D154)-10)/30)+1=1,"Scanner.cal","")&amp;
IF(INT((ROW(D154)-10)/30)+1=2,"","")&amp;
IF(INT((ROW(D154)-10)/30)+1=3,"Scanner.cal","")&amp;
IF(INT((ROW(D154)-10)/30)+1=4,"","")&amp;
IF(INT((ROW(D154)-10)/30)+1=5,"Scanner.cal","")&amp;
IF(INT((ROW(D154)-10)/30)+1=6,"Scanner.cal","")&amp;
IF(INT((ROW(D154)-10)/30)+1=7,"Scanner.cal","")&amp;
IF(INT((ROW(D154)-10)/30)+1=8,IF(SCANOPY_Camera, "Indiv", "Gen")&amp; " Lens.cal","")</f>
        <v>☐ Scanner.cal</v>
      </c>
      <c r="O154" s="395" t="str">
        <f>IF(AND(ROW(L154)&gt;=9,ROW(L154)&lt;=38),"☐ RegentTarget.blu","")</f>
        <v/>
      </c>
      <c r="P154" s="302"/>
      <c r="Q154" s="302"/>
    </row>
    <row r="155" spans="1:17" ht="24" customHeight="1" x14ac:dyDescent="0.2">
      <c r="A155" s="564" t="s">
        <v>269</v>
      </c>
      <c r="B155" s="311" t="s">
        <v>269</v>
      </c>
      <c r="C155" s="395" t="s">
        <v>159</v>
      </c>
      <c r="D155" s="395" t="str">
        <f xml:space="preserve"> IF(N("If it is Cam, Do not Show XL")+AND(ROW(D155)&gt;=189,ROW(D155)&lt;=218),"","☐ XL Man")</f>
        <v>☐ XL Man</v>
      </c>
      <c r="E155" s="570" t="str">
        <f>IF(N("Si OR dessous = vrai, pas de box")+OR(
N("1 OR Tron ou CELL")+OR(AND(ROW(K154)&gt;=39,ROW(K154)&lt;=68),AND(ROW(K154)&gt;=99,ROW(K154)&lt;=128)),
N("2 Pas de système scanopy and range opy")+AND(ROW(K154)&gt;=219,ROW(K154)&lt;=248,SCANOPY_N_System&lt;2),
N("3 Avec LC")&amp;IF(ISERROR(LEFT(J153,SEARCH("00",J153)-3)),"",LEFT(J153,SEARCH("00",J153)-3))="LC"),"","☐ ")
&amp;
IF(N("If it's OPY, put OMount Manual instead")+
AND(ROW(J154)&gt;=219,ROW(J154)&lt;=248),
IF(SCANOPY_N_System&gt;1,"OMount Man",""),
IF(N("If it is Cell or Tron, Do not Show Scanner related items")+OR(
AND(ROW(K154)&gt;=39,ROW(K154)&lt;=68),
AND(ROW(K154)&gt;=99,ROW(K154)&lt;=128)),
    "", IF(1=N("Si système a un scanner différent du Scanner populaire alors différent, sinon Scanner populaire")+AND(NOT(ISERROR(SEARCH("System",J153))),LEFT(J153,2)&lt;&gt;LEFT(PROD_MostPopularScanner,2)),
LEFT(J153,SEARCH("00",J153)-3),
PROD_MostPopularScanner) &amp; " Install Man"))</f>
        <v>☐ Scan. Install Man</v>
      </c>
      <c r="F155" s="509" t="s">
        <v>285</v>
      </c>
      <c r="G155" s="395" t="s">
        <v>284</v>
      </c>
      <c r="H155" s="572" t="s">
        <v>260</v>
      </c>
      <c r="I155" s="510"/>
      <c r="J155" s="395" t="s">
        <v>160</v>
      </c>
      <c r="K155" s="353"/>
      <c r="L155" s="572" t="s">
        <v>734</v>
      </c>
      <c r="M155" s="395"/>
      <c r="N155" s="509"/>
      <c r="O155" s="395"/>
      <c r="P155" s="302"/>
      <c r="Q155" s="302"/>
    </row>
    <row r="156" spans="1:17" ht="16.25" customHeight="1" x14ac:dyDescent="0.2">
      <c r="A156" s="552"/>
      <c r="B156" s="382"/>
      <c r="C156" s="829" t="str">
        <f>IF((FOLIA_N_UpgradeUpdate + FOLIA_N_Software ) = 2,"",LEFT(INDEX(FOLIA_SoftwareFullNames,FOLIA_IndexSoftware),FIND(" ",INDEX(FOLIA_SoftwareFullNames,FOLIA_IndexSoftware),FIND(" ",INDEX(FOLIA_SoftwareFullNames,FOLIA_IndexSoftware))+1)) &amp;
FOLIA_YearMostRecent )</f>
        <v/>
      </c>
      <c r="D156" s="829"/>
      <c r="E156" s="390"/>
      <c r="F156" s="390"/>
      <c r="G156" s="361" t="str">
        <f>IF(FOLIA_OptionXL*(FOLIA_N_Software+FOLIA_N_UpgradeUpdate-2)&gt;=((ROW(G156)-ROW($G$129))/4+1),"XLFOLIA "&amp; FOLIA_YearMostRecent,"")</f>
        <v/>
      </c>
      <c r="H156" s="345"/>
      <c r="I156" s="345"/>
      <c r="J156" s="361" t="str">
        <f>IF(FOLIA_N_System-1&gt;=((ROW(G156)-ROW($G$129))/4+1),IF(FOLIA_IndexScanner=1,"STD4800",IF(FOLIA_IndexScanner=2,"LA2400","LC4800P")) &amp; " System"&amp; IF(AND(FOLIA_ClientWithOrWithoutScanner=2,FOLIA_N_System&gt;1)," Sans Scanner"," Avec Scanner"),
IF(AND(FOLIA_N_Software&gt;FOLIA_N_System,FOLIA_N_Software-1&gt;((ROW(G156)-ROW($G$129))/4+1)),IF(N_SystemTotal=0,"Software Only",IF(N_STDScanners+N_LAScanners+N_LCScanners=0,"Software Sans Scanner","Software Avec Scanner")),
IF(FOLIA_N_UpgradeUpdate-1&gt;=((ROW(G156)-ROW($G$129))/4+1)-(MAX(FOLIA_N_System,FOLIA_N_Software)-1),"Update","")))</f>
        <v/>
      </c>
      <c r="K156" s="345"/>
      <c r="L156" s="344"/>
      <c r="M156" s="344"/>
      <c r="N156" s="344"/>
      <c r="O156" s="302"/>
      <c r="P156" s="302"/>
      <c r="Q156" s="302"/>
    </row>
    <row r="157" spans="1:17" ht="24" customHeight="1" x14ac:dyDescent="0.2">
      <c r="A157" s="564" t="s">
        <v>268</v>
      </c>
      <c r="B157" s="375" t="s">
        <v>268</v>
      </c>
      <c r="C157" s="507" t="str">
        <f>"☐☐ Win" &amp;
IF(INT((ROW(D157)-10)/30)+1=1,"DEN","")&amp;
IF(INT((ROW(D157)-10)/30)+1=2,"CEL","")&amp;
IF(INT((ROW(D157)-10)/30)+1=3,"RHI","")&amp;
IF(INT((ROW(D157)-10)/30)+1=4,"RT","")&amp;
IF(INT((ROW(D157)-10)/30)+1=5,"FOL","")&amp;
IF(INT((ROW(D157)-10)/30)+1=6,"SEE","")&amp;
IF(INT((ROW(D157)-10)/30)+1=7,"CAM","")&amp;
IF(INT((ROW(D157)-10)/30)+1=8,"SCA","") &amp; ".exe"</f>
        <v>☐☐ WinFOL.exe</v>
      </c>
      <c r="D157" s="507" t="str">
        <f xml:space="preserve"> IF(N("If it is Cam, Do not Show XL")+AND(ROW(D157)&gt;=189,ROW(D157)&lt;=218),"","☐ XL" &amp;
IF(INT((ROW(D157)-10)/30)+1=1,"STEM","")&amp;
IF(INT((ROW(D157)-10)/30)+1=2,"Cell","")&amp;
IF(INT((ROW(D157)-10)/30)+1=3,"Rhizo","")&amp;
IF(INT((ROW(D157)-10)/30)+1=4,"RhizoT","")&amp;
IF(INT((ROW(D157)-10)/30)+1=5,"Folia","")&amp;
IF(INT((ROW(D157)-10)/30)+1=6,"Seedle","")&amp;
IF(INT((ROW(D157)-10)/30)+1=7,"Cam","")&amp;
IF(INT((ROW(D157)-10)/30)+1=8,"Scanopy","") &amp; ".xls")</f>
        <v>☐ XLFolia.xls</v>
      </c>
      <c r="E157" s="507" t="s">
        <v>309</v>
      </c>
      <c r="F157" s="508" t="s">
        <v>159</v>
      </c>
      <c r="G157" s="507" t="str">
        <f xml:space="preserve"> IF(N("If it is Cam, Do not Show XL")+AND(ROW(G157)&gt;=189,ROW(G157)&lt;=218),"","☐ XL Man")</f>
        <v>☐ XL Man</v>
      </c>
      <c r="H157" s="508" t="s">
        <v>290</v>
      </c>
      <c r="I157" s="395" t="s">
        <v>284</v>
      </c>
      <c r="J157" s="508" t="str">
        <f>IF(N("Si OR dessous = vrai, pas de box")+OR(
N("1 OR Tron ou CELL")+OR(AND(ROW(E157)&gt;=39,ROW(E157)&lt;=68),AND(ROW(E157)&gt;=99,ROW(E157)&lt;=128)),
N("2 Pas de système scanopy and range opy")+AND(ROW(E157)&gt;=219,ROW(E157)&lt;=248,SCANOPY_N_System&lt;2),
N("3 Avec LC")&amp;IF(ISERROR(LEFT(D156,SEARCH("00",D156)-3)),"",LEFT(D156,SEARCH("00",D156)-3))="LC"),"","☐ ")
&amp;
IF(N("If it's OPY, put OMount Manual instead")+
AND(ROW(D157)&gt;=219,ROW(D157)&lt;=248),
IF(SCANOPY_N_System&gt;1,
IF(SCANOPY_IndexScanner=1,"α" &amp; SCANOPY_CameraModel,SCANOPY_CameraModel_Mini) &amp; " Man",""),
IF(N("If it is Cell or Tron, Do not Show Scanner related items+No Video if LC")+OR(
AND(ROW(E157)&gt;=39,ROW(E157)&lt;=68),
AND(ROW(E157)&gt;=99,ROW(E157)&lt;=128)),
    "", IF(1=N("Si système a un scanner différent du Scanner populaire alors différent, sinon Scanner populaire")+AND(NOT(ISERROR(SEARCH("System",D156))),LEFT(D156,2)&lt;&gt;LEFT(PROD_MostPopularScanner,2)),
LEFT(D156,SEARCH("00",D156)-3),
PROD_MostPopularScanner) &amp; " Install Man"))</f>
        <v>☐ Scan. Install Man</v>
      </c>
      <c r="K157" s="507" t="str">
        <f>IF(N("If it is Cell or Tron or OPY, Do not Show Twain")+OR(AND(ROW(K157)&gt;=39,ROW(K157)&lt;=68),AND(ROW(K157)&gt;=99,ROW(K157)&lt;=128),AND(ROW(J157)&gt;=219,ROW(J157)&lt;=248)),"","☐ TWAIN")</f>
        <v>☐ TWAIN</v>
      </c>
      <c r="L157" s="508" t="str">
        <f>IF(N("Si OR dessous = vrai, pas de box")+OR(
N("1 OR Dendro+CELL, Tron+Folia,Cam")+OR(
AND(ROW(K157)&gt;=9,ROW(K157)&lt;=68),
AND(ROW(K157)&gt;=99,ROW(K157)&lt;=158),
AND(ROW(K157)&gt;=189,ROW(K157)&lt;=218)),
N("2 Pas de système scanopy and range opy")+AND(ROW(K157)&gt;=219,ROW(K157)&lt;=248,SCANOPY_N_System&lt;2),
N("3 Avec LC")&amp;IF(ISERROR(LEFT(J156,SEARCH("00",J156)-3)),"",LEFT(J156,SEARCH("00",J156)-3))="LC"),"","☐ ")
&amp;
IF(N("If it's OPY, put OMount Manual instead")+
AND(ROW(J157)&gt;=219,ROW(J157)&lt;=248),
IF(SCANOPY_N_System&gt;1,"OMount Man",""),
IF(N("If it is Dendro+CELL, Tron+Folia or Cam, Do not Show Scanner related items+No Video if LC")+OR(
AND(ROW(K157)&gt;=9,ROW(K157)&lt;=68),
AND(ROW(K157)&gt;=99,ROW(K157)&lt;=158),
AND(ROW(K157)&gt;=189,ROW(K157)&lt;=218),
IF(ISERROR(LEFT(J156,SEARCH("00",J156)-3)),"",LEFT(J156,SEARCH("00",J156)-3))="LC"),
    "", "Video " &amp; IF(1=N("Si système a un scanner différent du Scanner populaire alors différent, sinon Scanner populaire")+AND(NOT(ISERROR(SEARCH("System",J156))),LEFT(J156,2)&lt;&gt;LEFT(PROD_MostPopularScanner,2)),
LEFT(J156,SEARCH("00",J156)-3),
PROD_MostPopularScanner) &amp; " Install"))</f>
        <v/>
      </c>
      <c r="M157" s="507" t="str">
        <f>IF(N("If it is Dendro or Tron, Do not Show Color Analysis Video")+
OR(AND(ROW(L157)&gt;=9,ROW(L157)&lt;=38),
AND(ROW(L157)&gt;=99,ROW(L157)&lt;=128)), "","☐ Video ClrAna")</f>
        <v>☐ Video ClrAna</v>
      </c>
      <c r="N157" s="508" t="str">
        <f>IF(OR(INT((ROW(D157)-10)/30)+1=2,INT((ROW(D157)-10)/30)+1=4),"","☐ ")&amp;
IF(INT((ROW(D157)-10)/30)+1=1,"Scanner.cal","")&amp;
IF(INT((ROW(D157)-10)/30)+1=2,"","")&amp;
IF(INT((ROW(D157)-10)/30)+1=3,"Scanner.cal","")&amp;
IF(INT((ROW(D157)-10)/30)+1=4,"","")&amp;
IF(INT((ROW(D157)-10)/30)+1=5,"Scanner.cal","")&amp;
IF(INT((ROW(D157)-10)/30)+1=6,"Scanner.cal","")&amp;
IF(INT((ROW(D157)-10)/30)+1=7,"Scanner.cal","")&amp;
IF(INT((ROW(D157)-10)/30)+1=8,IF(SCANOPY_Camera, "Indiv", "Gen")&amp; " Lens.cal","")</f>
        <v>☐ Scanner.cal</v>
      </c>
      <c r="O157" s="395" t="str">
        <f>IF(AND(ROW(L157)&gt;=9,ROW(L157)&lt;=38),"☐ RegentTarget.blu","")</f>
        <v/>
      </c>
      <c r="P157" s="302"/>
      <c r="Q157" s="302"/>
    </row>
    <row r="158" spans="1:17" ht="24" customHeight="1" x14ac:dyDescent="0.2">
      <c r="A158" s="564" t="s">
        <v>269</v>
      </c>
      <c r="B158" s="311" t="s">
        <v>269</v>
      </c>
      <c r="C158" s="395" t="s">
        <v>159</v>
      </c>
      <c r="D158" s="395" t="str">
        <f xml:space="preserve"> IF(N("If it is Cam, Do not Show XL")+AND(ROW(D158)&gt;=189,ROW(D158)&lt;=218),"","☐ XL Man")</f>
        <v>☐ XL Man</v>
      </c>
      <c r="E158" s="570" t="str">
        <f>IF(N("Si OR dessous = vrai, pas de box")+OR(
N("1 OR Tron ou CELL")+OR(AND(ROW(K157)&gt;=39,ROW(K157)&lt;=68),AND(ROW(K157)&gt;=99,ROW(K157)&lt;=128)),
N("2 Pas de système scanopy and range opy")+AND(ROW(K157)&gt;=219,ROW(K157)&lt;=248,SCANOPY_N_System&lt;2),
N("3 Avec LC")&amp;IF(ISERROR(LEFT(J156,SEARCH("00",J156)-3)),"",LEFT(J156,SEARCH("00",J156)-3))="LC"),"","☐ ")
&amp;
IF(N("If it's OPY, put OMount Manual instead")+
AND(ROW(J157)&gt;=219,ROW(J157)&lt;=248),
IF(SCANOPY_N_System&gt;1,"OMount Man",""),
IF(N("If it is Cell or Tron, Do not Show Scanner related items")+OR(
AND(ROW(K157)&gt;=39,ROW(K157)&lt;=68),
AND(ROW(K157)&gt;=99,ROW(K157)&lt;=128)),
    "", IF(1=N("Si système a un scanner différent du Scanner populaire alors différent, sinon Scanner populaire")+AND(NOT(ISERROR(SEARCH("System",J156))),LEFT(J156,2)&lt;&gt;LEFT(PROD_MostPopularScanner,2)),
LEFT(J156,SEARCH("00",J156)-3),
PROD_MostPopularScanner) &amp; " Install Man"))</f>
        <v>☐ Scan. Install Man</v>
      </c>
      <c r="F158" s="509" t="s">
        <v>285</v>
      </c>
      <c r="G158" s="395" t="s">
        <v>284</v>
      </c>
      <c r="H158" s="572" t="s">
        <v>260</v>
      </c>
      <c r="I158" s="510"/>
      <c r="J158" s="395" t="s">
        <v>160</v>
      </c>
      <c r="K158" s="353"/>
      <c r="L158" s="572" t="s">
        <v>734</v>
      </c>
      <c r="M158" s="395"/>
      <c r="N158" s="509"/>
      <c r="O158" s="395"/>
      <c r="P158" s="302"/>
      <c r="Q158" s="302"/>
    </row>
    <row r="159" spans="1:17" ht="16.25" customHeight="1" x14ac:dyDescent="0.2">
      <c r="A159" s="553"/>
      <c r="B159" s="383"/>
      <c r="C159" s="835" t="str">
        <f>IF((SEEDLE_N_UpgradeUpdate + SEEDLE_N_Software ) = 2,"",LEFT(INDEX(SEEDLE_SoftwareFullNames,SEEDLE_IndexSoftware),FIND(" ",INDEX(SEEDLE_SoftwareFullNames,SEEDLE_IndexSoftware),FIND(" ",INDEX(SEEDLE_SoftwareFullNames,SEEDLE_IndexSoftware))+1)) &amp;
SEEDLE_YearMostRecent )</f>
        <v/>
      </c>
      <c r="D159" s="835"/>
      <c r="E159" s="391"/>
      <c r="F159" s="391"/>
      <c r="G159" s="362" t="str">
        <f>IF(SEEDLE_OptionXL*(SEEDLE_N_Software+SEEDLE_N_UpgradeUpdate-2)&gt;=((ROW(G159)-ROW($G$159))/4+1),"XLSEEDLE "&amp; SEEDLE_YearMostRecent,"")</f>
        <v/>
      </c>
      <c r="H159" s="347"/>
      <c r="I159" s="347"/>
      <c r="J159" s="362" t="str">
        <f>IF(SEEDLE_N_System-1&gt;=((ROW(G159)-ROW($G$159))/4+1),IF(SEEDLE_IndexScanner=1,"STD4800","LA2400") &amp; " System"&amp; IF(AND(SEEDLE_ClientWithOrWithoutScanner=2,SEEDLE_N_System&gt;1)," Sans Scanner"," Avec Scanner"),
IF(AND(SEEDLE_N_Software&gt;SEEDLE_N_System,SEEDLE_N_Software-1&gt;((ROW(G159)-ROW($G$159))/4+1)),IF(N_SystemTotal=0,"Software Only",IF(N_STDScanners+N_LAScanners+N_LCScanners=0,"Software Sans Scanner","Software Avec Scanner")),
IF(SEEDLE_N_UpgradeUpdate-1&gt;=((ROW(G159)-ROW($G$159))/4+1)-(MAX(SEEDLE_N_System,SEEDLE_N_Software)-1),"Update","")))</f>
        <v/>
      </c>
      <c r="K159" s="347"/>
      <c r="L159" s="346"/>
      <c r="M159" s="346"/>
      <c r="N159" s="346"/>
      <c r="O159" s="302"/>
      <c r="P159" s="302"/>
      <c r="Q159" s="302"/>
    </row>
    <row r="160" spans="1:17" ht="24" customHeight="1" x14ac:dyDescent="0.2">
      <c r="A160" s="565" t="s">
        <v>268</v>
      </c>
      <c r="B160" s="375" t="s">
        <v>268</v>
      </c>
      <c r="C160" s="507" t="str">
        <f>"☐☐ Win" &amp;
IF(INT((ROW(D160)-10)/30)+1=1,"DEN","")&amp;
IF(INT((ROW(D160)-10)/30)+1=2,"CEL","")&amp;
IF(INT((ROW(D160)-10)/30)+1=3,"RHI","")&amp;
IF(INT((ROW(D160)-10)/30)+1=4,"RT","")&amp;
IF(INT((ROW(D160)-10)/30)+1=5,"FOL","")&amp;
IF(INT((ROW(D160)-10)/30)+1=6,"SEE","")&amp;
IF(INT((ROW(D160)-10)/30)+1=7,"CAM","")&amp;
IF(INT((ROW(D160)-10)/30)+1=8,"SCA","") &amp; ".exe"</f>
        <v>☐☐ WinSEE.exe</v>
      </c>
      <c r="D160" s="507" t="str">
        <f xml:space="preserve"> IF(N("If it is Cam, Do not Show XL")+AND(ROW(D160)&gt;=189,ROW(D160)&lt;=218),"","☐ XL" &amp;
IF(INT((ROW(D160)-10)/30)+1=1,"STEM","")&amp;
IF(INT((ROW(D160)-10)/30)+1=2,"Cell","")&amp;
IF(INT((ROW(D160)-10)/30)+1=3,"Rhizo","")&amp;
IF(INT((ROW(D160)-10)/30)+1=4,"RhizoT","")&amp;
IF(INT((ROW(D160)-10)/30)+1=5,"Folia","")&amp;
IF(INT((ROW(D160)-10)/30)+1=6,"Seedle","")&amp;
IF(INT((ROW(D160)-10)/30)+1=7,"Cam","")&amp;
IF(INT((ROW(D160)-10)/30)+1=8,"Scanopy","") &amp; ".xls")</f>
        <v>☐ XLSeedle.xls</v>
      </c>
      <c r="E160" s="507" t="s">
        <v>309</v>
      </c>
      <c r="F160" s="508" t="s">
        <v>159</v>
      </c>
      <c r="G160" s="507" t="str">
        <f xml:space="preserve"> IF(N("If it is Cam, Do not Show XL")+AND(ROW(G160)&gt;=189,ROW(G160)&lt;=218),"","☐ XL Man")</f>
        <v>☐ XL Man</v>
      </c>
      <c r="H160" s="508" t="s">
        <v>290</v>
      </c>
      <c r="I160" s="395" t="s">
        <v>284</v>
      </c>
      <c r="J160" s="508" t="str">
        <f>IF(N("Si OR dessous = vrai, pas de box")+OR(
N("1 OR Tron ou CELL")+OR(AND(ROW(E160)&gt;=39,ROW(E160)&lt;=68),AND(ROW(E160)&gt;=99,ROW(E160)&lt;=128)),
N("2 Pas de système scanopy and range opy")+AND(ROW(E160)&gt;=219,ROW(E160)&lt;=248,SCANOPY_N_System&lt;2),
N("3 Avec LC")&amp;IF(ISERROR(LEFT(D159,SEARCH("00",D159)-3)),"",LEFT(D159,SEARCH("00",D159)-3))="LC"),"","☐ ")
&amp;
IF(N("If it's OPY, put OMount Manual instead")+
AND(ROW(D160)&gt;=219,ROW(D160)&lt;=248),
IF(SCANOPY_N_System&gt;1,
IF(SCANOPY_IndexScanner=1,"α" &amp; SCANOPY_CameraModel,SCANOPY_CameraModel_Mini) &amp; " Man",""),
IF(N("If it is Cell or Tron, Do not Show Scanner related items+No Video if LC")+OR(
AND(ROW(E160)&gt;=39,ROW(E160)&lt;=68),
AND(ROW(E160)&gt;=99,ROW(E160)&lt;=128)),
    "", IF(1=N("Si système a un scanner différent du Scanner populaire alors différent, sinon Scanner populaire")+AND(NOT(ISERROR(SEARCH("System",D159))),LEFT(D159,2)&lt;&gt;LEFT(PROD_MostPopularScanner,2)),
LEFT(D159,SEARCH("00",D159)-3),
PROD_MostPopularScanner) &amp; " Install Man"))</f>
        <v>☐ Scan. Install Man</v>
      </c>
      <c r="K160" s="507" t="str">
        <f>IF(N("If it is Cell or Tron or OPY, Do not Show Twain")+OR(AND(ROW(K160)&gt;=39,ROW(K160)&lt;=68),AND(ROW(K160)&gt;=99,ROW(K160)&lt;=128),AND(ROW(J160)&gt;=219,ROW(J160)&lt;=248)),"","☐ TWAIN")</f>
        <v>☐ TWAIN</v>
      </c>
      <c r="L160" s="508" t="str">
        <f>IF(N("Si OR dessous = vrai, pas de box")+OR(
N("1 OR Dendro+CELL, Tron+Folia,Cam")+OR(
AND(ROW(K160)&gt;=9,ROW(K160)&lt;=68),
AND(ROW(K160)&gt;=99,ROW(K160)&lt;=158),
AND(ROW(K160)&gt;=189,ROW(K160)&lt;=218)),
N("2 Pas de système scanopy and range opy")+AND(ROW(K160)&gt;=219,ROW(K160)&lt;=248,SCANOPY_N_System&lt;2),
N("3 Avec LC")&amp;IF(ISERROR(LEFT(J159,SEARCH("00",J159)-3)),"",LEFT(J159,SEARCH("00",J159)-3))="LC"),"","☐ ")
&amp;
IF(N("If it's OPY, put OMount Manual instead")+
AND(ROW(J160)&gt;=219,ROW(J160)&lt;=248),
IF(SCANOPY_N_System&gt;1,"OMount Man",""),
IF(N("If it is Dendro+CELL, Tron+Folia or Cam, Do not Show Scanner related items+No Video if LC")+OR(
AND(ROW(K160)&gt;=9,ROW(K160)&lt;=68),
AND(ROW(K160)&gt;=99,ROW(K160)&lt;=158),
AND(ROW(K160)&gt;=189,ROW(K160)&lt;=218),
IF(ISERROR(LEFT(J159,SEARCH("00",J159)-3)),"",LEFT(J159,SEARCH("00",J159)-3))="LC"),
    "", "Video " &amp; IF(1=N("Si système a un scanner différent du Scanner populaire alors différent, sinon Scanner populaire")+AND(NOT(ISERROR(SEARCH("System",J159))),LEFT(J159,2)&lt;&gt;LEFT(PROD_MostPopularScanner,2)),
LEFT(J159,SEARCH("00",J159)-3),
PROD_MostPopularScanner) &amp; " Install"))</f>
        <v>☐ Video Scan. Install</v>
      </c>
      <c r="M160" s="507" t="str">
        <f>IF(N("If it is Dendro or Tron, Do not Show Color Analysis Video")+
OR(AND(ROW(L160)&gt;=9,ROW(L160)&lt;=38),
AND(ROW(L160)&gt;=99,ROW(L160)&lt;=128)), "","☐ Video ClrAna")</f>
        <v>☐ Video ClrAna</v>
      </c>
      <c r="N160" s="508" t="str">
        <f>IF(OR(INT((ROW(D160)-10)/30)+1=2,INT((ROW(D160)-10)/30)+1=4),"","☐ ")&amp;
IF(INT((ROW(D160)-10)/30)+1=1,"Scanner.cal","")&amp;
IF(INT((ROW(D160)-10)/30)+1=2,"","")&amp;
IF(INT((ROW(D160)-10)/30)+1=3,"Scanner.cal","")&amp;
IF(INT((ROW(D160)-10)/30)+1=4,"","")&amp;
IF(INT((ROW(D160)-10)/30)+1=5,"Scanner.cal","")&amp;
IF(INT((ROW(D160)-10)/30)+1=6,"Scanner.cal","")&amp;
IF(INT((ROW(D160)-10)/30)+1=7,"Scanner.cal","")&amp;
IF(INT((ROW(D160)-10)/30)+1=8,IF(SCANOPY_Camera, "Indiv", "Gen")&amp; " Lens.cal","")</f>
        <v>☐ Scanner.cal</v>
      </c>
      <c r="O160" s="395" t="str">
        <f>IF(AND(ROW(L160)&gt;=9,ROW(L160)&lt;=38),"☐ RegentTarget.blu","")</f>
        <v/>
      </c>
      <c r="P160" s="302"/>
      <c r="Q160" s="302"/>
    </row>
    <row r="161" spans="1:17" ht="24" customHeight="1" x14ac:dyDescent="0.2">
      <c r="A161" s="565" t="s">
        <v>269</v>
      </c>
      <c r="B161" s="311" t="s">
        <v>269</v>
      </c>
      <c r="C161" s="395" t="s">
        <v>159</v>
      </c>
      <c r="D161" s="395" t="str">
        <f xml:space="preserve"> IF(N("If it is Cam, Do not Show XL")+AND(ROW(D161)&gt;=189,ROW(D161)&lt;=218),"","☐ XL Man")</f>
        <v>☐ XL Man</v>
      </c>
      <c r="E161" s="570" t="str">
        <f>IF(N("Si OR dessous = vrai, pas de box")+OR(
N("1 OR Tron ou CELL")+OR(AND(ROW(K160)&gt;=39,ROW(K160)&lt;=68),AND(ROW(K160)&gt;=99,ROW(K160)&lt;=128)),
N("2 Pas de système scanopy and range opy")+AND(ROW(K160)&gt;=219,ROW(K160)&lt;=248,SCANOPY_N_System&lt;2),
N("3 Avec LC")&amp;IF(ISERROR(LEFT(J159,SEARCH("00",J159)-3)),"",LEFT(J159,SEARCH("00",J159)-3))="LC"),"","☐ ")
&amp;
IF(N("If it's OPY, put OMount Manual instead")+
AND(ROW(J160)&gt;=219,ROW(J160)&lt;=248),
IF(SCANOPY_N_System&gt;1,"OMount Man",""),
IF(N("If it is Cell or Tron, Do not Show Scanner related items")+OR(
AND(ROW(K160)&gt;=39,ROW(K160)&lt;=68),
AND(ROW(K160)&gt;=99,ROW(K160)&lt;=128)),
    "", IF(1=N("Si système a un scanner différent du Scanner populaire alors différent, sinon Scanner populaire")+AND(NOT(ISERROR(SEARCH("System",J159))),LEFT(J159,2)&lt;&gt;LEFT(PROD_MostPopularScanner,2)),
LEFT(J159,SEARCH("00",J159)-3),
PROD_MostPopularScanner) &amp; " Install Man"))</f>
        <v>☐ Scan. Install Man</v>
      </c>
      <c r="F161" s="509" t="s">
        <v>285</v>
      </c>
      <c r="G161" s="395" t="s">
        <v>284</v>
      </c>
      <c r="H161" s="572" t="s">
        <v>260</v>
      </c>
      <c r="I161" s="510"/>
      <c r="J161" s="395" t="s">
        <v>160</v>
      </c>
      <c r="K161" s="353"/>
      <c r="L161" s="572" t="s">
        <v>734</v>
      </c>
      <c r="M161" s="395"/>
      <c r="N161" s="509"/>
      <c r="O161" s="395"/>
      <c r="P161" s="302"/>
      <c r="Q161" s="302"/>
    </row>
    <row r="162" spans="1:17" ht="16.25" customHeight="1" x14ac:dyDescent="0.2">
      <c r="A162" s="553"/>
      <c r="B162" s="383"/>
      <c r="C162" s="835" t="str">
        <f>IF((SEEDLE_N_UpgradeUpdate + SEEDLE_N_Software ) = 2,"",LEFT(INDEX(SEEDLE_SoftwareFullNames,SEEDLE_IndexSoftware),FIND(" ",INDEX(SEEDLE_SoftwareFullNames,SEEDLE_IndexSoftware),FIND(" ",INDEX(SEEDLE_SoftwareFullNames,SEEDLE_IndexSoftware))+1)) &amp;
SEEDLE_YearMostRecent )</f>
        <v/>
      </c>
      <c r="D162" s="835"/>
      <c r="E162" s="391"/>
      <c r="F162" s="391"/>
      <c r="G162" s="362" t="str">
        <f>IF(SEEDLE_OptionXL*(SEEDLE_N_Software+SEEDLE_N_UpgradeUpdate-2)&gt;=((ROW(G162)-ROW($G$159))/4+1),"XLSEEDLE "&amp; SEEDLE_YearMostRecent,"")</f>
        <v/>
      </c>
      <c r="H162" s="347"/>
      <c r="I162" s="347"/>
      <c r="J162" s="362" t="str">
        <f>IF(SEEDLE_N_System-1&gt;=((ROW(G162)-ROW($G$159))/4+1),IF(SEEDLE_IndexScanner=1,"STD4800","LA2400") &amp; " System"&amp; IF(AND(SEEDLE_ClientWithOrWithoutScanner=2,SEEDLE_N_System&gt;1)," Sans Scanner"," Avec Scanner"),
IF(AND(SEEDLE_N_Software&gt;SEEDLE_N_System,SEEDLE_N_Software-1&gt;((ROW(G162)-ROW($G$159))/4+1)),IF(N_SystemTotal=0,"Software Only",IF(N_STDScanners+N_LAScanners+N_LCScanners=0,"Software Sans Scanner","Software Avec Scanner")),
IF(SEEDLE_N_UpgradeUpdate-1&gt;=((ROW(G162)-ROW($G$159))/4+1)-(MAX(SEEDLE_N_System,SEEDLE_N_Software)-1),"Update","")))</f>
        <v/>
      </c>
      <c r="K162" s="347"/>
      <c r="L162" s="346"/>
      <c r="M162" s="346"/>
      <c r="N162" s="346"/>
      <c r="O162" s="302"/>
      <c r="P162" s="302"/>
      <c r="Q162" s="302"/>
    </row>
    <row r="163" spans="1:17" ht="24" customHeight="1" x14ac:dyDescent="0.2">
      <c r="A163" s="566" t="s">
        <v>268</v>
      </c>
      <c r="B163" s="375" t="s">
        <v>268</v>
      </c>
      <c r="C163" s="507" t="str">
        <f>"☐☐ Win" &amp;
IF(INT((ROW(D163)-10)/30)+1=1,"DEN","")&amp;
IF(INT((ROW(D163)-10)/30)+1=2,"CEL","")&amp;
IF(INT((ROW(D163)-10)/30)+1=3,"RHI","")&amp;
IF(INT((ROW(D163)-10)/30)+1=4,"RT","")&amp;
IF(INT((ROW(D163)-10)/30)+1=5,"FOL","")&amp;
IF(INT((ROW(D163)-10)/30)+1=6,"SEE","")&amp;
IF(INT((ROW(D163)-10)/30)+1=7,"CAM","")&amp;
IF(INT((ROW(D163)-10)/30)+1=8,"SCA","") &amp; ".exe"</f>
        <v>☐☐ WinSEE.exe</v>
      </c>
      <c r="D163" s="507" t="str">
        <f xml:space="preserve"> IF(N("If it is Cam, Do not Show XL")+AND(ROW(D163)&gt;=189,ROW(D163)&lt;=218),"","☐ XL" &amp;
IF(INT((ROW(D163)-10)/30)+1=1,"STEM","")&amp;
IF(INT((ROW(D163)-10)/30)+1=2,"Cell","")&amp;
IF(INT((ROW(D163)-10)/30)+1=3,"Rhizo","")&amp;
IF(INT((ROW(D163)-10)/30)+1=4,"RhizoT","")&amp;
IF(INT((ROW(D163)-10)/30)+1=5,"Folia","")&amp;
IF(INT((ROW(D163)-10)/30)+1=6,"Seedle","")&amp;
IF(INT((ROW(D163)-10)/30)+1=7,"Cam","")&amp;
IF(INT((ROW(D163)-10)/30)+1=8,"Scanopy","") &amp; ".xls")</f>
        <v>☐ XLSeedle.xls</v>
      </c>
      <c r="E163" s="507" t="s">
        <v>309</v>
      </c>
      <c r="F163" s="508" t="s">
        <v>159</v>
      </c>
      <c r="G163" s="507" t="str">
        <f xml:space="preserve"> IF(N("If it is Cam, Do not Show XL")+AND(ROW(G163)&gt;=189,ROW(G163)&lt;=218),"","☐ XL Man")</f>
        <v>☐ XL Man</v>
      </c>
      <c r="H163" s="508" t="s">
        <v>290</v>
      </c>
      <c r="I163" s="395" t="s">
        <v>284</v>
      </c>
      <c r="J163" s="508" t="str">
        <f>IF(N("Si OR dessous = vrai, pas de box")+OR(
N("1 OR Tron ou CELL")+OR(AND(ROW(E163)&gt;=39,ROW(E163)&lt;=68),AND(ROW(E163)&gt;=99,ROW(E163)&lt;=128)),
N("2 Pas de système scanopy and range opy")+AND(ROW(E163)&gt;=219,ROW(E163)&lt;=248,SCANOPY_N_System&lt;2),
N("3 Avec LC")&amp;IF(ISERROR(LEFT(D162,SEARCH("00",D162)-3)),"",LEFT(D162,SEARCH("00",D162)-3))="LC"),"","☐ ")
&amp;
IF(N("If it's OPY, put OMount Manual instead")+
AND(ROW(D163)&gt;=219,ROW(D163)&lt;=248),
IF(SCANOPY_N_System&gt;1,
IF(SCANOPY_IndexScanner=1,"α" &amp; SCANOPY_CameraModel,SCANOPY_CameraModel_Mini) &amp; " Man",""),
IF(N("If it is Cell or Tron, Do not Show Scanner related items+No Video if LC")+OR(
AND(ROW(E163)&gt;=39,ROW(E163)&lt;=68),
AND(ROW(E163)&gt;=99,ROW(E163)&lt;=128)),
    "", IF(1=N("Si système a un scanner différent du Scanner populaire alors différent, sinon Scanner populaire")+AND(NOT(ISERROR(SEARCH("System",D162))),LEFT(D162,2)&lt;&gt;LEFT(PROD_MostPopularScanner,2)),
LEFT(D162,SEARCH("00",D162)-3),
PROD_MostPopularScanner) &amp; " Install Man"))</f>
        <v>☐ Scan. Install Man</v>
      </c>
      <c r="K163" s="507" t="str">
        <f>IF(N("If it is Cell or Tron or OPY, Do not Show Twain")+OR(AND(ROW(K163)&gt;=39,ROW(K163)&lt;=68),AND(ROW(K163)&gt;=99,ROW(K163)&lt;=128),AND(ROW(J163)&gt;=219,ROW(J163)&lt;=248)),"","☐ TWAIN")</f>
        <v>☐ TWAIN</v>
      </c>
      <c r="L163" s="508" t="str">
        <f>IF(N("Si OR dessous = vrai, pas de box")+OR(
N("1 OR Dendro+CELL, Tron+Folia,Cam")+OR(
AND(ROW(K163)&gt;=9,ROW(K163)&lt;=68),
AND(ROW(K163)&gt;=99,ROW(K163)&lt;=158),
AND(ROW(K163)&gt;=189,ROW(K163)&lt;=218)),
N("2 Pas de système scanopy and range opy")+AND(ROW(K163)&gt;=219,ROW(K163)&lt;=248,SCANOPY_N_System&lt;2),
N("3 Avec LC")&amp;IF(ISERROR(LEFT(J162,SEARCH("00",J162)-3)),"",LEFT(J162,SEARCH("00",J162)-3))="LC"),"","☐ ")
&amp;
IF(N("If it's OPY, put OMount Manual instead")+
AND(ROW(J163)&gt;=219,ROW(J163)&lt;=248),
IF(SCANOPY_N_System&gt;1,"OMount Man",""),
IF(N("If it is Dendro+CELL, Tron+Folia or Cam, Do not Show Scanner related items+No Video if LC")+OR(
AND(ROW(K163)&gt;=9,ROW(K163)&lt;=68),
AND(ROW(K163)&gt;=99,ROW(K163)&lt;=158),
AND(ROW(K163)&gt;=189,ROW(K163)&lt;=218),
IF(ISERROR(LEFT(J162,SEARCH("00",J162)-3)),"",LEFT(J162,SEARCH("00",J162)-3))="LC"),
    "", "Video " &amp; IF(1=N("Si système a un scanner différent du Scanner populaire alors différent, sinon Scanner populaire")+AND(NOT(ISERROR(SEARCH("System",J162))),LEFT(J162,2)&lt;&gt;LEFT(PROD_MostPopularScanner,2)),
LEFT(J162,SEARCH("00",J162)-3),
PROD_MostPopularScanner) &amp; " Install"))</f>
        <v>☐ Video Scan. Install</v>
      </c>
      <c r="M163" s="507" t="str">
        <f>IF(N("If it is Dendro or Tron, Do not Show Color Analysis Video")+
OR(AND(ROW(L163)&gt;=9,ROW(L163)&lt;=38),
AND(ROW(L163)&gt;=99,ROW(L163)&lt;=128)), "","☐ Video ClrAna")</f>
        <v>☐ Video ClrAna</v>
      </c>
      <c r="N163" s="508" t="str">
        <f>IF(OR(INT((ROW(D163)-10)/30)+1=2,INT((ROW(D163)-10)/30)+1=4),"","☐ ")&amp;
IF(INT((ROW(D163)-10)/30)+1=1,"Scanner.cal","")&amp;
IF(INT((ROW(D163)-10)/30)+1=2,"","")&amp;
IF(INT((ROW(D163)-10)/30)+1=3,"Scanner.cal","")&amp;
IF(INT((ROW(D163)-10)/30)+1=4,"","")&amp;
IF(INT((ROW(D163)-10)/30)+1=5,"Scanner.cal","")&amp;
IF(INT((ROW(D163)-10)/30)+1=6,"Scanner.cal","")&amp;
IF(INT((ROW(D163)-10)/30)+1=7,"Scanner.cal","")&amp;
IF(INT((ROW(D163)-10)/30)+1=8,IF(SCANOPY_Camera, "Indiv", "Gen")&amp; " Lens.cal","")</f>
        <v>☐ Scanner.cal</v>
      </c>
      <c r="O163" s="395" t="str">
        <f>IF(AND(ROW(L163)&gt;=9,ROW(L163)&lt;=38),"☐ RegentTarget.blu","")</f>
        <v/>
      </c>
      <c r="P163" s="302"/>
      <c r="Q163" s="302"/>
    </row>
    <row r="164" spans="1:17" ht="24" customHeight="1" x14ac:dyDescent="0.2">
      <c r="A164" s="566" t="s">
        <v>269</v>
      </c>
      <c r="B164" s="311" t="s">
        <v>269</v>
      </c>
      <c r="C164" s="395" t="s">
        <v>159</v>
      </c>
      <c r="D164" s="395" t="str">
        <f xml:space="preserve"> IF(N("If it is Cam, Do not Show XL")+AND(ROW(D164)&gt;=189,ROW(D164)&lt;=218),"","☐ XL Man")</f>
        <v>☐ XL Man</v>
      </c>
      <c r="E164" s="570" t="str">
        <f>IF(N("Si OR dessous = vrai, pas de box")+OR(
N("1 OR Tron ou CELL")+OR(AND(ROW(K163)&gt;=39,ROW(K163)&lt;=68),AND(ROW(K163)&gt;=99,ROW(K163)&lt;=128)),
N("2 Pas de système scanopy and range opy")+AND(ROW(K163)&gt;=219,ROW(K163)&lt;=248,SCANOPY_N_System&lt;2),
N("3 Avec LC")&amp;IF(ISERROR(LEFT(J162,SEARCH("00",J162)-3)),"",LEFT(J162,SEARCH("00",J162)-3))="LC"),"","☐ ")
&amp;
IF(N("If it's OPY, put OMount Manual instead")+
AND(ROW(J163)&gt;=219,ROW(J163)&lt;=248),
IF(SCANOPY_N_System&gt;1,"OMount Man",""),
IF(N("If it is Cell or Tron, Do not Show Scanner related items")+OR(
AND(ROW(K163)&gt;=39,ROW(K163)&lt;=68),
AND(ROW(K163)&gt;=99,ROW(K163)&lt;=128)),
    "", IF(1=N("Si système a un scanner différent du Scanner populaire alors différent, sinon Scanner populaire")+AND(NOT(ISERROR(SEARCH("System",J162))),LEFT(J162,2)&lt;&gt;LEFT(PROD_MostPopularScanner,2)),
LEFT(J162,SEARCH("00",J162)-3),
PROD_MostPopularScanner) &amp; " Install Man"))</f>
        <v>☐ Scan. Install Man</v>
      </c>
      <c r="F164" s="509" t="s">
        <v>285</v>
      </c>
      <c r="G164" s="395" t="s">
        <v>284</v>
      </c>
      <c r="H164" s="572" t="s">
        <v>260</v>
      </c>
      <c r="I164" s="510"/>
      <c r="J164" s="395" t="s">
        <v>160</v>
      </c>
      <c r="K164" s="353"/>
      <c r="L164" s="572" t="s">
        <v>734</v>
      </c>
      <c r="M164" s="395"/>
      <c r="N164" s="509"/>
      <c r="O164" s="395"/>
      <c r="P164" s="302"/>
      <c r="Q164" s="302"/>
    </row>
    <row r="165" spans="1:17" ht="16.25" customHeight="1" x14ac:dyDescent="0.2">
      <c r="A165" s="553"/>
      <c r="B165" s="383"/>
      <c r="C165" s="835" t="str">
        <f>IF((SEEDLE_N_UpgradeUpdate + SEEDLE_N_Software ) = 2,"",LEFT(INDEX(SEEDLE_SoftwareFullNames,SEEDLE_IndexSoftware),FIND(" ",INDEX(SEEDLE_SoftwareFullNames,SEEDLE_IndexSoftware),FIND(" ",INDEX(SEEDLE_SoftwareFullNames,SEEDLE_IndexSoftware))+1)) &amp;
SEEDLE_YearMostRecent )</f>
        <v/>
      </c>
      <c r="D165" s="835"/>
      <c r="E165" s="391"/>
      <c r="F165" s="391"/>
      <c r="G165" s="362" t="str">
        <f>IF(SEEDLE_OptionXL*(SEEDLE_N_Software+SEEDLE_N_UpgradeUpdate-2)&gt;=((ROW(G165)-ROW($G$159))/4+1),"XLSEEDLE "&amp; SEEDLE_YearMostRecent,"")</f>
        <v/>
      </c>
      <c r="H165" s="347"/>
      <c r="I165" s="347"/>
      <c r="J165" s="362" t="str">
        <f>IF(SEEDLE_N_System-1&gt;=((ROW(G165)-ROW($G$159))/4+1),IF(SEEDLE_IndexScanner=1,"STD4800","LA2400") &amp; " System"&amp; IF(AND(SEEDLE_ClientWithOrWithoutScanner=2,SEEDLE_N_System&gt;1)," Sans Scanner"," Avec Scanner"),
IF(AND(SEEDLE_N_Software&gt;SEEDLE_N_System,SEEDLE_N_Software-1&gt;((ROW(G165)-ROW($G$159))/4+1)),IF(N_SystemTotal=0,"Software Only",IF(N_STDScanners+N_LAScanners+N_LCScanners=0,"Software Sans Scanner","Software Avec Scanner")),
IF(SEEDLE_N_UpgradeUpdate-1&gt;=((ROW(G165)-ROW($G$159))/4+1)-(MAX(SEEDLE_N_System,SEEDLE_N_Software)-1),"Update","")))</f>
        <v/>
      </c>
      <c r="K165" s="347"/>
      <c r="L165" s="346"/>
      <c r="M165" s="346"/>
      <c r="N165" s="346"/>
      <c r="O165" s="302"/>
      <c r="P165" s="302"/>
      <c r="Q165" s="302"/>
    </row>
    <row r="166" spans="1:17" ht="24" customHeight="1" x14ac:dyDescent="0.2">
      <c r="A166" s="566" t="s">
        <v>268</v>
      </c>
      <c r="B166" s="375" t="s">
        <v>268</v>
      </c>
      <c r="C166" s="507" t="str">
        <f>"☐☐ Win" &amp;
IF(INT((ROW(D166)-10)/30)+1=1,"DEN","")&amp;
IF(INT((ROW(D166)-10)/30)+1=2,"CEL","")&amp;
IF(INT((ROW(D166)-10)/30)+1=3,"RHI","")&amp;
IF(INT((ROW(D166)-10)/30)+1=4,"RT","")&amp;
IF(INT((ROW(D166)-10)/30)+1=5,"FOL","")&amp;
IF(INT((ROW(D166)-10)/30)+1=6,"SEE","")&amp;
IF(INT((ROW(D166)-10)/30)+1=7,"CAM","")&amp;
IF(INT((ROW(D166)-10)/30)+1=8,"SCA","") &amp; ".exe"</f>
        <v>☐☐ WinSEE.exe</v>
      </c>
      <c r="D166" s="507" t="str">
        <f xml:space="preserve"> IF(N("If it is Cam, Do not Show XL")+AND(ROW(D166)&gt;=189,ROW(D166)&lt;=218),"","☐ XL" &amp;
IF(INT((ROW(D166)-10)/30)+1=1,"STEM","")&amp;
IF(INT((ROW(D166)-10)/30)+1=2,"Cell","")&amp;
IF(INT((ROW(D166)-10)/30)+1=3,"Rhizo","")&amp;
IF(INT((ROW(D166)-10)/30)+1=4,"RhizoT","")&amp;
IF(INT((ROW(D166)-10)/30)+1=5,"Folia","")&amp;
IF(INT((ROW(D166)-10)/30)+1=6,"Seedle","")&amp;
IF(INT((ROW(D166)-10)/30)+1=7,"Cam","")&amp;
IF(INT((ROW(D166)-10)/30)+1=8,"Scanopy","") &amp; ".xls")</f>
        <v>☐ XLSeedle.xls</v>
      </c>
      <c r="E166" s="507" t="s">
        <v>309</v>
      </c>
      <c r="F166" s="508" t="s">
        <v>159</v>
      </c>
      <c r="G166" s="507" t="str">
        <f xml:space="preserve"> IF(N("If it is Cam, Do not Show XL")+AND(ROW(G166)&gt;=189,ROW(G166)&lt;=218),"","☐ XL Man")</f>
        <v>☐ XL Man</v>
      </c>
      <c r="H166" s="508" t="s">
        <v>290</v>
      </c>
      <c r="I166" s="395" t="s">
        <v>284</v>
      </c>
      <c r="J166" s="508" t="str">
        <f>IF(N("Si OR dessous = vrai, pas de box")+OR(
N("1 OR Tron ou CELL")+OR(AND(ROW(E166)&gt;=39,ROW(E166)&lt;=68),AND(ROW(E166)&gt;=99,ROW(E166)&lt;=128)),
N("2 Pas de système scanopy and range opy")+AND(ROW(E166)&gt;=219,ROW(E166)&lt;=248,SCANOPY_N_System&lt;2),
N("3 Avec LC")&amp;IF(ISERROR(LEFT(D165,SEARCH("00",D165)-3)),"",LEFT(D165,SEARCH("00",D165)-3))="LC"),"","☐ ")
&amp;
IF(N("If it's OPY, put OMount Manual instead")+
AND(ROW(D166)&gt;=219,ROW(D166)&lt;=248),
IF(SCANOPY_N_System&gt;1,
IF(SCANOPY_IndexScanner=1,"α" &amp; SCANOPY_CameraModel,SCANOPY_CameraModel_Mini) &amp; " Man",""),
IF(N("If it is Cell or Tron, Do not Show Scanner related items+No Video if LC")+OR(
AND(ROW(E166)&gt;=39,ROW(E166)&lt;=68),
AND(ROW(E166)&gt;=99,ROW(E166)&lt;=128)),
    "", IF(1=N("Si système a un scanner différent du Scanner populaire alors différent, sinon Scanner populaire")+AND(NOT(ISERROR(SEARCH("System",D165))),LEFT(D165,2)&lt;&gt;LEFT(PROD_MostPopularScanner,2)),
LEFT(D165,SEARCH("00",D165)-3),
PROD_MostPopularScanner) &amp; " Install Man"))</f>
        <v>☐ Scan. Install Man</v>
      </c>
      <c r="K166" s="507" t="str">
        <f>IF(N("If it is Cell or Tron or OPY, Do not Show Twain")+OR(AND(ROW(K166)&gt;=39,ROW(K166)&lt;=68),AND(ROW(K166)&gt;=99,ROW(K166)&lt;=128),AND(ROW(J166)&gt;=219,ROW(J166)&lt;=248)),"","☐ TWAIN")</f>
        <v>☐ TWAIN</v>
      </c>
      <c r="L166" s="508" t="str">
        <f>IF(N("Si OR dessous = vrai, pas de box")+OR(
N("1 OR Dendro+CELL, Tron+Folia,Cam")+OR(
AND(ROW(K166)&gt;=9,ROW(K166)&lt;=68),
AND(ROW(K166)&gt;=99,ROW(K166)&lt;=158),
AND(ROW(K166)&gt;=189,ROW(K166)&lt;=218)),
N("2 Pas de système scanopy and range opy")+AND(ROW(K166)&gt;=219,ROW(K166)&lt;=248,SCANOPY_N_System&lt;2),
N("3 Avec LC")&amp;IF(ISERROR(LEFT(J165,SEARCH("00",J165)-3)),"",LEFT(J165,SEARCH("00",J165)-3))="LC"),"","☐ ")
&amp;
IF(N("If it's OPY, put OMount Manual instead")+
AND(ROW(J166)&gt;=219,ROW(J166)&lt;=248),
IF(SCANOPY_N_System&gt;1,"OMount Man",""),
IF(N("If it is Dendro+CELL, Tron+Folia or Cam, Do not Show Scanner related items+No Video if LC")+OR(
AND(ROW(K166)&gt;=9,ROW(K166)&lt;=68),
AND(ROW(K166)&gt;=99,ROW(K166)&lt;=158),
AND(ROW(K166)&gt;=189,ROW(K166)&lt;=218),
IF(ISERROR(LEFT(J165,SEARCH("00",J165)-3)),"",LEFT(J165,SEARCH("00",J165)-3))="LC"),
    "", "Video " &amp; IF(1=N("Si système a un scanner différent du Scanner populaire alors différent, sinon Scanner populaire")+AND(NOT(ISERROR(SEARCH("System",J165))),LEFT(J165,2)&lt;&gt;LEFT(PROD_MostPopularScanner,2)),
LEFT(J165,SEARCH("00",J165)-3),
PROD_MostPopularScanner) &amp; " Install"))</f>
        <v>☐ Video Scan. Install</v>
      </c>
      <c r="M166" s="507" t="str">
        <f>IF(N("If it is Dendro or Tron, Do not Show Color Analysis Video")+
OR(AND(ROW(L166)&gt;=9,ROW(L166)&lt;=38),
AND(ROW(L166)&gt;=99,ROW(L166)&lt;=128)), "","☐ Video ClrAna")</f>
        <v>☐ Video ClrAna</v>
      </c>
      <c r="N166" s="508" t="str">
        <f>IF(OR(INT((ROW(D166)-10)/30)+1=2,INT((ROW(D166)-10)/30)+1=4),"","☐ ")&amp;
IF(INT((ROW(D166)-10)/30)+1=1,"Scanner.cal","")&amp;
IF(INT((ROW(D166)-10)/30)+1=2,"","")&amp;
IF(INT((ROW(D166)-10)/30)+1=3,"Scanner.cal","")&amp;
IF(INT((ROW(D166)-10)/30)+1=4,"","")&amp;
IF(INT((ROW(D166)-10)/30)+1=5,"Scanner.cal","")&amp;
IF(INT((ROW(D166)-10)/30)+1=6,"Scanner.cal","")&amp;
IF(INT((ROW(D166)-10)/30)+1=7,"Scanner.cal","")&amp;
IF(INT((ROW(D166)-10)/30)+1=8,IF(SCANOPY_Camera, "Indiv", "Gen")&amp; " Lens.cal","")</f>
        <v>☐ Scanner.cal</v>
      </c>
      <c r="O166" s="395" t="str">
        <f>IF(AND(ROW(L166)&gt;=9,ROW(L166)&lt;=38),"☐ RegentTarget.blu","")</f>
        <v/>
      </c>
      <c r="P166" s="302"/>
      <c r="Q166" s="302"/>
    </row>
    <row r="167" spans="1:17" ht="24" customHeight="1" x14ac:dyDescent="0.2">
      <c r="A167" s="566" t="s">
        <v>269</v>
      </c>
      <c r="B167" s="311" t="s">
        <v>269</v>
      </c>
      <c r="C167" s="395" t="s">
        <v>159</v>
      </c>
      <c r="D167" s="395" t="str">
        <f xml:space="preserve"> IF(N("If it is Cam, Do not Show XL")+AND(ROW(D167)&gt;=189,ROW(D167)&lt;=218),"","☐ XL Man")</f>
        <v>☐ XL Man</v>
      </c>
      <c r="E167" s="570" t="str">
        <f>IF(N("Si OR dessous = vrai, pas de box")+OR(
N("1 OR Tron ou CELL")+OR(AND(ROW(K166)&gt;=39,ROW(K166)&lt;=68),AND(ROW(K166)&gt;=99,ROW(K166)&lt;=128)),
N("2 Pas de système scanopy and range opy")+AND(ROW(K166)&gt;=219,ROW(K166)&lt;=248,SCANOPY_N_System&lt;2),
N("3 Avec LC")&amp;IF(ISERROR(LEFT(J165,SEARCH("00",J165)-3)),"",LEFT(J165,SEARCH("00",J165)-3))="LC"),"","☐ ")
&amp;
IF(N("If it's OPY, put OMount Manual instead")+
AND(ROW(J166)&gt;=219,ROW(J166)&lt;=248),
IF(SCANOPY_N_System&gt;1,"OMount Man",""),
IF(N("If it is Cell or Tron, Do not Show Scanner related items")+OR(
AND(ROW(K166)&gt;=39,ROW(K166)&lt;=68),
AND(ROW(K166)&gt;=99,ROW(K166)&lt;=128)),
    "", IF(1=N("Si système a un scanner différent du Scanner populaire alors différent, sinon Scanner populaire")+AND(NOT(ISERROR(SEARCH("System",J165))),LEFT(J165,2)&lt;&gt;LEFT(PROD_MostPopularScanner,2)),
LEFT(J165,SEARCH("00",J165)-3),
PROD_MostPopularScanner) &amp; " Install Man"))</f>
        <v>☐ Scan. Install Man</v>
      </c>
      <c r="F167" s="509" t="s">
        <v>285</v>
      </c>
      <c r="G167" s="395" t="s">
        <v>284</v>
      </c>
      <c r="H167" s="572" t="s">
        <v>260</v>
      </c>
      <c r="I167" s="510"/>
      <c r="J167" s="395" t="s">
        <v>160</v>
      </c>
      <c r="K167" s="353"/>
      <c r="L167" s="572" t="s">
        <v>734</v>
      </c>
      <c r="M167" s="395"/>
      <c r="N167" s="509"/>
      <c r="O167" s="395"/>
      <c r="P167" s="302"/>
      <c r="Q167" s="302"/>
    </row>
    <row r="168" spans="1:17" ht="16.25" customHeight="1" x14ac:dyDescent="0.2">
      <c r="A168" s="553"/>
      <c r="B168" s="383"/>
      <c r="C168" s="835" t="str">
        <f>IF((SEEDLE_N_UpgradeUpdate + SEEDLE_N_Software ) = 2,"",LEFT(INDEX(SEEDLE_SoftwareFullNames,SEEDLE_IndexSoftware),FIND(" ",INDEX(SEEDLE_SoftwareFullNames,SEEDLE_IndexSoftware),FIND(" ",INDEX(SEEDLE_SoftwareFullNames,SEEDLE_IndexSoftware))+1)) &amp;
SEEDLE_YearMostRecent )</f>
        <v/>
      </c>
      <c r="D168" s="835"/>
      <c r="E168" s="391"/>
      <c r="F168" s="391"/>
      <c r="G168" s="362" t="str">
        <f>IF(SEEDLE_OptionXL*(SEEDLE_N_Software+SEEDLE_N_UpgradeUpdate-2)&gt;=((ROW(G168)-ROW($G$159))/4+1),"XLSEEDLE "&amp; SEEDLE_YearMostRecent,"")</f>
        <v/>
      </c>
      <c r="H168" s="347"/>
      <c r="I168" s="347"/>
      <c r="J168" s="362" t="str">
        <f>IF(SEEDLE_N_System-1&gt;=((ROW(G168)-ROW($G$159))/4+1),IF(SEEDLE_IndexScanner=1,"STD4800","LA2400") &amp; " System"&amp; IF(AND(SEEDLE_ClientWithOrWithoutScanner=2,SEEDLE_N_System&gt;1)," Sans Scanner"," Avec Scanner"),
IF(AND(SEEDLE_N_Software&gt;SEEDLE_N_System,SEEDLE_N_Software-1&gt;((ROW(G168)-ROW($G$159))/4+1)),IF(N_SystemTotal=0,"Software Only",IF(N_STDScanners+N_LAScanners+N_LCScanners=0,"Software Sans Scanner","Software Avec Scanner")),
IF(SEEDLE_N_UpgradeUpdate-1&gt;=((ROW(G168)-ROW($G$159))/4+1)-(MAX(SEEDLE_N_System,SEEDLE_N_Software)-1),"Update","")))</f>
        <v/>
      </c>
      <c r="K168" s="347"/>
      <c r="L168" s="346"/>
      <c r="M168" s="346"/>
      <c r="N168" s="346"/>
      <c r="O168" s="302"/>
      <c r="P168" s="302"/>
      <c r="Q168" s="302"/>
    </row>
    <row r="169" spans="1:17" ht="24" customHeight="1" x14ac:dyDescent="0.2">
      <c r="A169" s="566" t="s">
        <v>268</v>
      </c>
      <c r="B169" s="375" t="s">
        <v>268</v>
      </c>
      <c r="C169" s="507" t="str">
        <f>"☐☐ Win" &amp;
IF(INT((ROW(D169)-10)/30)+1=1,"DEN","")&amp;
IF(INT((ROW(D169)-10)/30)+1=2,"CEL","")&amp;
IF(INT((ROW(D169)-10)/30)+1=3,"RHI","")&amp;
IF(INT((ROW(D169)-10)/30)+1=4,"RT","")&amp;
IF(INT((ROW(D169)-10)/30)+1=5,"FOL","")&amp;
IF(INT((ROW(D169)-10)/30)+1=6,"SEE","")&amp;
IF(INT((ROW(D169)-10)/30)+1=7,"CAM","")&amp;
IF(INT((ROW(D169)-10)/30)+1=8,"SCA","") &amp; ".exe"</f>
        <v>☐☐ WinSEE.exe</v>
      </c>
      <c r="D169" s="507" t="str">
        <f xml:space="preserve"> IF(N("If it is Cam, Do not Show XL")+AND(ROW(D169)&gt;=189,ROW(D169)&lt;=218),"","☐ XL" &amp;
IF(INT((ROW(D169)-10)/30)+1=1,"STEM","")&amp;
IF(INT((ROW(D169)-10)/30)+1=2,"Cell","")&amp;
IF(INT((ROW(D169)-10)/30)+1=3,"Rhizo","")&amp;
IF(INT((ROW(D169)-10)/30)+1=4,"RhizoT","")&amp;
IF(INT((ROW(D169)-10)/30)+1=5,"Folia","")&amp;
IF(INT((ROW(D169)-10)/30)+1=6,"Seedle","")&amp;
IF(INT((ROW(D169)-10)/30)+1=7,"Cam","")&amp;
IF(INT((ROW(D169)-10)/30)+1=8,"Scanopy","") &amp; ".xls")</f>
        <v>☐ XLSeedle.xls</v>
      </c>
      <c r="E169" s="507" t="s">
        <v>309</v>
      </c>
      <c r="F169" s="508" t="s">
        <v>159</v>
      </c>
      <c r="G169" s="507" t="str">
        <f xml:space="preserve"> IF(N("If it is Cam, Do not Show XL")+AND(ROW(G169)&gt;=189,ROW(G169)&lt;=218),"","☐ XL Man")</f>
        <v>☐ XL Man</v>
      </c>
      <c r="H169" s="508" t="s">
        <v>290</v>
      </c>
      <c r="I169" s="395" t="s">
        <v>284</v>
      </c>
      <c r="J169" s="508" t="str">
        <f>IF(N("Si OR dessous = vrai, pas de box")+OR(
N("1 OR Tron ou CELL")+OR(AND(ROW(E169)&gt;=39,ROW(E169)&lt;=68),AND(ROW(E169)&gt;=99,ROW(E169)&lt;=128)),
N("2 Pas de système scanopy and range opy")+AND(ROW(E169)&gt;=219,ROW(E169)&lt;=248,SCANOPY_N_System&lt;2),
N("3 Avec LC")&amp;IF(ISERROR(LEFT(D168,SEARCH("00",D168)-3)),"",LEFT(D168,SEARCH("00",D168)-3))="LC"),"","☐ ")
&amp;
IF(N("If it's OPY, put OMount Manual instead")+
AND(ROW(D169)&gt;=219,ROW(D169)&lt;=248),
IF(SCANOPY_N_System&gt;1,
IF(SCANOPY_IndexScanner=1,"α" &amp; SCANOPY_CameraModel,SCANOPY_CameraModel_Mini) &amp; " Man",""),
IF(N("If it is Cell or Tron, Do not Show Scanner related items+No Video if LC")+OR(
AND(ROW(E169)&gt;=39,ROW(E169)&lt;=68),
AND(ROW(E169)&gt;=99,ROW(E169)&lt;=128)),
    "", IF(1=N("Si système a un scanner différent du Scanner populaire alors différent, sinon Scanner populaire")+AND(NOT(ISERROR(SEARCH("System",D168))),LEFT(D168,2)&lt;&gt;LEFT(PROD_MostPopularScanner,2)),
LEFT(D168,SEARCH("00",D168)-3),
PROD_MostPopularScanner) &amp; " Install Man"))</f>
        <v>☐ Scan. Install Man</v>
      </c>
      <c r="K169" s="507" t="str">
        <f>IF(N("If it is Cell or Tron or OPY, Do not Show Twain")+OR(AND(ROW(K169)&gt;=39,ROW(K169)&lt;=68),AND(ROW(K169)&gt;=99,ROW(K169)&lt;=128),AND(ROW(J169)&gt;=219,ROW(J169)&lt;=248)),"","☐ TWAIN")</f>
        <v>☐ TWAIN</v>
      </c>
      <c r="L169" s="508" t="str">
        <f>IF(N("Si OR dessous = vrai, pas de box")+OR(
N("1 OR Dendro+CELL, Tron+Folia,Cam")+OR(
AND(ROW(K169)&gt;=9,ROW(K169)&lt;=68),
AND(ROW(K169)&gt;=99,ROW(K169)&lt;=158),
AND(ROW(K169)&gt;=189,ROW(K169)&lt;=218)),
N("2 Pas de système scanopy and range opy")+AND(ROW(K169)&gt;=219,ROW(K169)&lt;=248,SCANOPY_N_System&lt;2),
N("3 Avec LC")&amp;IF(ISERROR(LEFT(J168,SEARCH("00",J168)-3)),"",LEFT(J168,SEARCH("00",J168)-3))="LC"),"","☐ ")
&amp;
IF(N("If it's OPY, put OMount Manual instead")+
AND(ROW(J169)&gt;=219,ROW(J169)&lt;=248),
IF(SCANOPY_N_System&gt;1,"OMount Man",""),
IF(N("If it is Dendro+CELL, Tron+Folia or Cam, Do not Show Scanner related items+No Video if LC")+OR(
AND(ROW(K169)&gt;=9,ROW(K169)&lt;=68),
AND(ROW(K169)&gt;=99,ROW(K169)&lt;=158),
AND(ROW(K169)&gt;=189,ROW(K169)&lt;=218),
IF(ISERROR(LEFT(J168,SEARCH("00",J168)-3)),"",LEFT(J168,SEARCH("00",J168)-3))="LC"),
    "", "Video " &amp; IF(1=N("Si système a un scanner différent du Scanner populaire alors différent, sinon Scanner populaire")+AND(NOT(ISERROR(SEARCH("System",J168))),LEFT(J168,2)&lt;&gt;LEFT(PROD_MostPopularScanner,2)),
LEFT(J168,SEARCH("00",J168)-3),
PROD_MostPopularScanner) &amp; " Install"))</f>
        <v>☐ Video Scan. Install</v>
      </c>
      <c r="M169" s="507" t="str">
        <f>IF(N("If it is Dendro or Tron, Do not Show Color Analysis Video")+
OR(AND(ROW(L169)&gt;=9,ROW(L169)&lt;=38),
AND(ROW(L169)&gt;=99,ROW(L169)&lt;=128)), "","☐ Video ClrAna")</f>
        <v>☐ Video ClrAna</v>
      </c>
      <c r="N169" s="508" t="str">
        <f>IF(OR(INT((ROW(D169)-10)/30)+1=2,INT((ROW(D169)-10)/30)+1=4),"","☐ ")&amp;
IF(INT((ROW(D169)-10)/30)+1=1,"Scanner.cal","")&amp;
IF(INT((ROW(D169)-10)/30)+1=2,"","")&amp;
IF(INT((ROW(D169)-10)/30)+1=3,"Scanner.cal","")&amp;
IF(INT((ROW(D169)-10)/30)+1=4,"","")&amp;
IF(INT((ROW(D169)-10)/30)+1=5,"Scanner.cal","")&amp;
IF(INT((ROW(D169)-10)/30)+1=6,"Scanner.cal","")&amp;
IF(INT((ROW(D169)-10)/30)+1=7,"Scanner.cal","")&amp;
IF(INT((ROW(D169)-10)/30)+1=8,IF(SCANOPY_Camera, "Indiv", "Gen")&amp; " Lens.cal","")</f>
        <v>☐ Scanner.cal</v>
      </c>
      <c r="O169" s="395" t="str">
        <f>IF(AND(ROW(L169)&gt;=9,ROW(L169)&lt;=38),"☐ RegentTarget.blu","")</f>
        <v/>
      </c>
      <c r="P169" s="302"/>
      <c r="Q169" s="302"/>
    </row>
    <row r="170" spans="1:17" ht="24" customHeight="1" x14ac:dyDescent="0.2">
      <c r="A170" s="566" t="s">
        <v>269</v>
      </c>
      <c r="B170" s="311" t="s">
        <v>269</v>
      </c>
      <c r="C170" s="395" t="s">
        <v>159</v>
      </c>
      <c r="D170" s="395" t="str">
        <f xml:space="preserve"> IF(N("If it is Cam, Do not Show XL")+AND(ROW(D170)&gt;=189,ROW(D170)&lt;=218),"","☐ XL Man")</f>
        <v>☐ XL Man</v>
      </c>
      <c r="E170" s="570" t="str">
        <f>IF(N("Si OR dessous = vrai, pas de box")+OR(
N("1 OR Tron ou CELL")+OR(AND(ROW(K169)&gt;=39,ROW(K169)&lt;=68),AND(ROW(K169)&gt;=99,ROW(K169)&lt;=128)),
N("2 Pas de système scanopy and range opy")+AND(ROW(K169)&gt;=219,ROW(K169)&lt;=248,SCANOPY_N_System&lt;2),
N("3 Avec LC")&amp;IF(ISERROR(LEFT(J168,SEARCH("00",J168)-3)),"",LEFT(J168,SEARCH("00",J168)-3))="LC"),"","☐ ")
&amp;
IF(N("If it's OPY, put OMount Manual instead")+
AND(ROW(J169)&gt;=219,ROW(J169)&lt;=248),
IF(SCANOPY_N_System&gt;1,"OMount Man",""),
IF(N("If it is Cell or Tron, Do not Show Scanner related items")+OR(
AND(ROW(K169)&gt;=39,ROW(K169)&lt;=68),
AND(ROW(K169)&gt;=99,ROW(K169)&lt;=128)),
    "", IF(1=N("Si système a un scanner différent du Scanner populaire alors différent, sinon Scanner populaire")+AND(NOT(ISERROR(SEARCH("System",J168))),LEFT(J168,2)&lt;&gt;LEFT(PROD_MostPopularScanner,2)),
LEFT(J168,SEARCH("00",J168)-3),
PROD_MostPopularScanner) &amp; " Install Man"))</f>
        <v>☐ Scan. Install Man</v>
      </c>
      <c r="F170" s="509" t="s">
        <v>285</v>
      </c>
      <c r="G170" s="395" t="s">
        <v>284</v>
      </c>
      <c r="H170" s="572" t="s">
        <v>260</v>
      </c>
      <c r="I170" s="510"/>
      <c r="J170" s="395" t="s">
        <v>160</v>
      </c>
      <c r="K170" s="353"/>
      <c r="L170" s="572" t="s">
        <v>734</v>
      </c>
      <c r="M170" s="395"/>
      <c r="N170" s="509"/>
      <c r="O170" s="395"/>
      <c r="P170" s="302"/>
      <c r="Q170" s="302"/>
    </row>
    <row r="171" spans="1:17" ht="16.25" customHeight="1" x14ac:dyDescent="0.2">
      <c r="A171" s="553"/>
      <c r="B171" s="383"/>
      <c r="C171" s="835" t="str">
        <f>IF((SEEDLE_N_UpgradeUpdate + SEEDLE_N_Software ) = 2,"",LEFT(INDEX(SEEDLE_SoftwareFullNames,SEEDLE_IndexSoftware),FIND(" ",INDEX(SEEDLE_SoftwareFullNames,SEEDLE_IndexSoftware),FIND(" ",INDEX(SEEDLE_SoftwareFullNames,SEEDLE_IndexSoftware))+1)) &amp;
SEEDLE_YearMostRecent )</f>
        <v/>
      </c>
      <c r="D171" s="835"/>
      <c r="E171" s="391"/>
      <c r="F171" s="391"/>
      <c r="G171" s="362" t="str">
        <f>IF(SEEDLE_OptionXL*(SEEDLE_N_Software+SEEDLE_N_UpgradeUpdate-2)&gt;=((ROW(G171)-ROW($G$159))/4+1),"XLSEEDLE "&amp; SEEDLE_YearMostRecent,"")</f>
        <v/>
      </c>
      <c r="H171" s="347"/>
      <c r="I171" s="347"/>
      <c r="J171" s="362" t="str">
        <f>IF(SEEDLE_N_System-1&gt;=((ROW(G171)-ROW($G$159))/4+1),IF(SEEDLE_IndexScanner=1,"STD4800","LA2400") &amp; " System"&amp; IF(AND(SEEDLE_ClientWithOrWithoutScanner=2,SEEDLE_N_System&gt;1)," Sans Scanner"," Avec Scanner"),
IF(AND(SEEDLE_N_Software&gt;SEEDLE_N_System,SEEDLE_N_Software-1&gt;((ROW(G171)-ROW($G$159))/4+1)),IF(N_SystemTotal=0,"Software Only",IF(N_STDScanners+N_LAScanners+N_LCScanners=0,"Software Sans Scanner","Software Avec Scanner")),
IF(SEEDLE_N_UpgradeUpdate-1&gt;=((ROW(G171)-ROW($G$159))/4+1)-(MAX(SEEDLE_N_System,SEEDLE_N_Software)-1),"Update","")))</f>
        <v/>
      </c>
      <c r="K171" s="347"/>
      <c r="L171" s="346"/>
      <c r="M171" s="346"/>
      <c r="N171" s="346"/>
      <c r="O171" s="302"/>
      <c r="P171" s="302"/>
      <c r="Q171" s="302"/>
    </row>
    <row r="172" spans="1:17" ht="24" customHeight="1" x14ac:dyDescent="0.2">
      <c r="A172" s="566" t="s">
        <v>268</v>
      </c>
      <c r="B172" s="375" t="s">
        <v>268</v>
      </c>
      <c r="C172" s="507" t="str">
        <f>"☐☐ Win" &amp;
IF(INT((ROW(D172)-10)/30)+1=1,"DEN","")&amp;
IF(INT((ROW(D172)-10)/30)+1=2,"CEL","")&amp;
IF(INT((ROW(D172)-10)/30)+1=3,"RHI","")&amp;
IF(INT((ROW(D172)-10)/30)+1=4,"RT","")&amp;
IF(INT((ROW(D172)-10)/30)+1=5,"FOL","")&amp;
IF(INT((ROW(D172)-10)/30)+1=6,"SEE","")&amp;
IF(INT((ROW(D172)-10)/30)+1=7,"CAM","")&amp;
IF(INT((ROW(D172)-10)/30)+1=8,"SCA","") &amp; ".exe"</f>
        <v>☐☐ WinSEE.exe</v>
      </c>
      <c r="D172" s="507" t="str">
        <f xml:space="preserve"> IF(N("If it is Cam, Do not Show XL")+AND(ROW(D172)&gt;=189,ROW(D172)&lt;=218),"","☐ XL" &amp;
IF(INT((ROW(D172)-10)/30)+1=1,"STEM","")&amp;
IF(INT((ROW(D172)-10)/30)+1=2,"Cell","")&amp;
IF(INT((ROW(D172)-10)/30)+1=3,"Rhizo","")&amp;
IF(INT((ROW(D172)-10)/30)+1=4,"RhizoT","")&amp;
IF(INT((ROW(D172)-10)/30)+1=5,"Folia","")&amp;
IF(INT((ROW(D172)-10)/30)+1=6,"Seedle","")&amp;
IF(INT((ROW(D172)-10)/30)+1=7,"Cam","")&amp;
IF(INT((ROW(D172)-10)/30)+1=8,"Scanopy","") &amp; ".xls")</f>
        <v>☐ XLSeedle.xls</v>
      </c>
      <c r="E172" s="507" t="s">
        <v>309</v>
      </c>
      <c r="F172" s="508" t="s">
        <v>159</v>
      </c>
      <c r="G172" s="507" t="str">
        <f xml:space="preserve"> IF(N("If it is Cam, Do not Show XL")+AND(ROW(G172)&gt;=189,ROW(G172)&lt;=218),"","☐ XL Man")</f>
        <v>☐ XL Man</v>
      </c>
      <c r="H172" s="508" t="s">
        <v>290</v>
      </c>
      <c r="I172" s="395" t="s">
        <v>284</v>
      </c>
      <c r="J172" s="508" t="str">
        <f>IF(N("Si OR dessous = vrai, pas de box")+OR(
N("1 OR Tron ou CELL")+OR(AND(ROW(E172)&gt;=39,ROW(E172)&lt;=68),AND(ROW(E172)&gt;=99,ROW(E172)&lt;=128)),
N("2 Pas de système scanopy and range opy")+AND(ROW(E172)&gt;=219,ROW(E172)&lt;=248,SCANOPY_N_System&lt;2),
N("3 Avec LC")&amp;IF(ISERROR(LEFT(D171,SEARCH("00",D171)-3)),"",LEFT(D171,SEARCH("00",D171)-3))="LC"),"","☐ ")
&amp;
IF(N("If it's OPY, put OMount Manual instead")+
AND(ROW(D172)&gt;=219,ROW(D172)&lt;=248),
IF(SCANOPY_N_System&gt;1,
IF(SCANOPY_IndexScanner=1,"α" &amp; SCANOPY_CameraModel,SCANOPY_CameraModel_Mini) &amp; " Man",""),
IF(N("If it is Cell or Tron, Do not Show Scanner related items+No Video if LC")+OR(
AND(ROW(E172)&gt;=39,ROW(E172)&lt;=68),
AND(ROW(E172)&gt;=99,ROW(E172)&lt;=128)),
    "", IF(1=N("Si système a un scanner différent du Scanner populaire alors différent, sinon Scanner populaire")+AND(NOT(ISERROR(SEARCH("System",D171))),LEFT(D171,2)&lt;&gt;LEFT(PROD_MostPopularScanner,2)),
LEFT(D171,SEARCH("00",D171)-3),
PROD_MostPopularScanner) &amp; " Install Man"))</f>
        <v>☐ Scan. Install Man</v>
      </c>
      <c r="K172" s="507" t="str">
        <f>IF(N("If it is Cell or Tron or OPY, Do not Show Twain")+OR(AND(ROW(K172)&gt;=39,ROW(K172)&lt;=68),AND(ROW(K172)&gt;=99,ROW(K172)&lt;=128),AND(ROW(J172)&gt;=219,ROW(J172)&lt;=248)),"","☐ TWAIN")</f>
        <v>☐ TWAIN</v>
      </c>
      <c r="L172" s="508" t="str">
        <f>IF(N("Si OR dessous = vrai, pas de box")+OR(
N("1 OR Dendro+CELL, Tron+Folia,Cam")+OR(
AND(ROW(K172)&gt;=9,ROW(K172)&lt;=68),
AND(ROW(K172)&gt;=99,ROW(K172)&lt;=158),
AND(ROW(K172)&gt;=189,ROW(K172)&lt;=218)),
N("2 Pas de système scanopy and range opy")+AND(ROW(K172)&gt;=219,ROW(K172)&lt;=248,SCANOPY_N_System&lt;2),
N("3 Avec LC")&amp;IF(ISERROR(LEFT(J171,SEARCH("00",J171)-3)),"",LEFT(J171,SEARCH("00",J171)-3))="LC"),"","☐ ")
&amp;
IF(N("If it's OPY, put OMount Manual instead")+
AND(ROW(J172)&gt;=219,ROW(J172)&lt;=248),
IF(SCANOPY_N_System&gt;1,"OMount Man",""),
IF(N("If it is Dendro+CELL, Tron+Folia or Cam, Do not Show Scanner related items+No Video if LC")+OR(
AND(ROW(K172)&gt;=9,ROW(K172)&lt;=68),
AND(ROW(K172)&gt;=99,ROW(K172)&lt;=158),
AND(ROW(K172)&gt;=189,ROW(K172)&lt;=218),
IF(ISERROR(LEFT(J171,SEARCH("00",J171)-3)),"",LEFT(J171,SEARCH("00",J171)-3))="LC"),
    "", "Video " &amp; IF(1=N("Si système a un scanner différent du Scanner populaire alors différent, sinon Scanner populaire")+AND(NOT(ISERROR(SEARCH("System",J171))),LEFT(J171,2)&lt;&gt;LEFT(PROD_MostPopularScanner,2)),
LEFT(J171,SEARCH("00",J171)-3),
PROD_MostPopularScanner) &amp; " Install"))</f>
        <v>☐ Video Scan. Install</v>
      </c>
      <c r="M172" s="507" t="str">
        <f>IF(N("If it is Dendro or Tron, Do not Show Color Analysis Video")+
OR(AND(ROW(L172)&gt;=9,ROW(L172)&lt;=38),
AND(ROW(L172)&gt;=99,ROW(L172)&lt;=128)), "","☐ Video ClrAna")</f>
        <v>☐ Video ClrAna</v>
      </c>
      <c r="N172" s="508" t="str">
        <f>IF(OR(INT((ROW(D172)-10)/30)+1=2,INT((ROW(D172)-10)/30)+1=4),"","☐ ")&amp;
IF(INT((ROW(D172)-10)/30)+1=1,"Scanner.cal","")&amp;
IF(INT((ROW(D172)-10)/30)+1=2,"","")&amp;
IF(INT((ROW(D172)-10)/30)+1=3,"Scanner.cal","")&amp;
IF(INT((ROW(D172)-10)/30)+1=4,"","")&amp;
IF(INT((ROW(D172)-10)/30)+1=5,"Scanner.cal","")&amp;
IF(INT((ROW(D172)-10)/30)+1=6,"Scanner.cal","")&amp;
IF(INT((ROW(D172)-10)/30)+1=7,"Scanner.cal","")&amp;
IF(INT((ROW(D172)-10)/30)+1=8,IF(SCANOPY_Camera, "Indiv", "Gen")&amp; " Lens.cal","")</f>
        <v>☐ Scanner.cal</v>
      </c>
      <c r="O172" s="395" t="str">
        <f>IF(AND(ROW(L172)&gt;=9,ROW(L172)&lt;=38),"☐ RegentTarget.blu","")</f>
        <v/>
      </c>
      <c r="P172" s="302"/>
      <c r="Q172" s="302"/>
    </row>
    <row r="173" spans="1:17" ht="24" customHeight="1" x14ac:dyDescent="0.2">
      <c r="A173" s="566" t="s">
        <v>269</v>
      </c>
      <c r="B173" s="311" t="s">
        <v>269</v>
      </c>
      <c r="C173" s="395" t="s">
        <v>159</v>
      </c>
      <c r="D173" s="395" t="str">
        <f xml:space="preserve"> IF(N("If it is Cam, Do not Show XL")+AND(ROW(D173)&gt;=189,ROW(D173)&lt;=218),"","☐ XL Man")</f>
        <v>☐ XL Man</v>
      </c>
      <c r="E173" s="570" t="str">
        <f>IF(N("Si OR dessous = vrai, pas de box")+OR(
N("1 OR Tron ou CELL")+OR(AND(ROW(K172)&gt;=39,ROW(K172)&lt;=68),AND(ROW(K172)&gt;=99,ROW(K172)&lt;=128)),
N("2 Pas de système scanopy and range opy")+AND(ROW(K172)&gt;=219,ROW(K172)&lt;=248,SCANOPY_N_System&lt;2),
N("3 Avec LC")&amp;IF(ISERROR(LEFT(J171,SEARCH("00",J171)-3)),"",LEFT(J171,SEARCH("00",J171)-3))="LC"),"","☐ ")
&amp;
IF(N("If it's OPY, put OMount Manual instead")+
AND(ROW(J172)&gt;=219,ROW(J172)&lt;=248),
IF(SCANOPY_N_System&gt;1,"OMount Man",""),
IF(N("If it is Cell or Tron, Do not Show Scanner related items")+OR(
AND(ROW(K172)&gt;=39,ROW(K172)&lt;=68),
AND(ROW(K172)&gt;=99,ROW(K172)&lt;=128)),
    "", IF(1=N("Si système a un scanner différent du Scanner populaire alors différent, sinon Scanner populaire")+AND(NOT(ISERROR(SEARCH("System",J171))),LEFT(J171,2)&lt;&gt;LEFT(PROD_MostPopularScanner,2)),
LEFT(J171,SEARCH("00",J171)-3),
PROD_MostPopularScanner) &amp; " Install Man"))</f>
        <v>☐ Scan. Install Man</v>
      </c>
      <c r="F173" s="509" t="s">
        <v>285</v>
      </c>
      <c r="G173" s="395" t="s">
        <v>284</v>
      </c>
      <c r="H173" s="572" t="s">
        <v>260</v>
      </c>
      <c r="I173" s="510"/>
      <c r="J173" s="395" t="s">
        <v>160</v>
      </c>
      <c r="K173" s="353"/>
      <c r="L173" s="572" t="s">
        <v>734</v>
      </c>
      <c r="M173" s="395"/>
      <c r="N173" s="509"/>
      <c r="O173" s="395"/>
      <c r="P173" s="302"/>
      <c r="Q173" s="302"/>
    </row>
    <row r="174" spans="1:17" ht="16.25" customHeight="1" x14ac:dyDescent="0.2">
      <c r="A174" s="553"/>
      <c r="B174" s="383"/>
      <c r="C174" s="835" t="str">
        <f>IF((SEEDLE_N_UpgradeUpdate + SEEDLE_N_Software ) = 2,"",LEFT(INDEX(SEEDLE_SoftwareFullNames,SEEDLE_IndexSoftware),FIND(" ",INDEX(SEEDLE_SoftwareFullNames,SEEDLE_IndexSoftware),FIND(" ",INDEX(SEEDLE_SoftwareFullNames,SEEDLE_IndexSoftware))+1)) &amp;
SEEDLE_YearMostRecent )</f>
        <v/>
      </c>
      <c r="D174" s="835"/>
      <c r="E174" s="391"/>
      <c r="F174" s="391"/>
      <c r="G174" s="362" t="str">
        <f>IF(SEEDLE_OptionXL*(SEEDLE_N_Software+SEEDLE_N_UpgradeUpdate-2)&gt;=((ROW(G174)-ROW($G$159))/4+1),"XLSEEDLE "&amp; SEEDLE_YearMostRecent,"")</f>
        <v/>
      </c>
      <c r="H174" s="347"/>
      <c r="I174" s="347"/>
      <c r="J174" s="362" t="str">
        <f>IF(SEEDLE_N_System-1&gt;=((ROW(G174)-ROW($G$159))/4+1),IF(SEEDLE_IndexScanner=1,"STD4800","LA2400") &amp; " System"&amp; IF(AND(SEEDLE_ClientWithOrWithoutScanner=2,SEEDLE_N_System&gt;1)," Sans Scanner"," Avec Scanner"),
IF(AND(SEEDLE_N_Software&gt;SEEDLE_N_System,SEEDLE_N_Software-1&gt;((ROW(G174)-ROW($G$159))/4+1)),IF(N_SystemTotal=0,"Software Only",IF(N_STDScanners+N_LAScanners+N_LCScanners=0,"Software Sans Scanner","Software Avec Scanner")),
IF(SEEDLE_N_UpgradeUpdate-1&gt;=((ROW(G174)-ROW($G$159))/4+1)-(MAX(SEEDLE_N_System,SEEDLE_N_Software)-1),"Update","")))</f>
        <v/>
      </c>
      <c r="K174" s="347"/>
      <c r="L174" s="346"/>
      <c r="M174" s="346"/>
      <c r="N174" s="346"/>
      <c r="O174" s="302"/>
      <c r="P174" s="302"/>
      <c r="Q174" s="302"/>
    </row>
    <row r="175" spans="1:17" ht="24" customHeight="1" x14ac:dyDescent="0.2">
      <c r="A175" s="566" t="s">
        <v>268</v>
      </c>
      <c r="B175" s="375" t="s">
        <v>268</v>
      </c>
      <c r="C175" s="507" t="str">
        <f>"☐☐ Win" &amp;
IF(INT((ROW(D175)-10)/30)+1=1,"DEN","")&amp;
IF(INT((ROW(D175)-10)/30)+1=2,"CEL","")&amp;
IF(INT((ROW(D175)-10)/30)+1=3,"RHI","")&amp;
IF(INT((ROW(D175)-10)/30)+1=4,"RT","")&amp;
IF(INT((ROW(D175)-10)/30)+1=5,"FOL","")&amp;
IF(INT((ROW(D175)-10)/30)+1=6,"SEE","")&amp;
IF(INT((ROW(D175)-10)/30)+1=7,"CAM","")&amp;
IF(INT((ROW(D175)-10)/30)+1=8,"SCA","") &amp; ".exe"</f>
        <v>☐☐ WinSEE.exe</v>
      </c>
      <c r="D175" s="507" t="str">
        <f xml:space="preserve"> IF(N("If it is Cam, Do not Show XL")+AND(ROW(D175)&gt;=189,ROW(D175)&lt;=218),"","☐ XL" &amp;
IF(INT((ROW(D175)-10)/30)+1=1,"STEM","")&amp;
IF(INT((ROW(D175)-10)/30)+1=2,"Cell","")&amp;
IF(INT((ROW(D175)-10)/30)+1=3,"Rhizo","")&amp;
IF(INT((ROW(D175)-10)/30)+1=4,"RhizoT","")&amp;
IF(INT((ROW(D175)-10)/30)+1=5,"Folia","")&amp;
IF(INT((ROW(D175)-10)/30)+1=6,"Seedle","")&amp;
IF(INT((ROW(D175)-10)/30)+1=7,"Cam","")&amp;
IF(INT((ROW(D175)-10)/30)+1=8,"Scanopy","") &amp; ".xls")</f>
        <v>☐ XLSeedle.xls</v>
      </c>
      <c r="E175" s="507" t="s">
        <v>309</v>
      </c>
      <c r="F175" s="508" t="s">
        <v>159</v>
      </c>
      <c r="G175" s="507" t="str">
        <f xml:space="preserve"> IF(N("If it is Cam, Do not Show XL")+AND(ROW(G175)&gt;=189,ROW(G175)&lt;=218),"","☐ XL Man")</f>
        <v>☐ XL Man</v>
      </c>
      <c r="H175" s="508" t="s">
        <v>290</v>
      </c>
      <c r="I175" s="395" t="s">
        <v>284</v>
      </c>
      <c r="J175" s="508" t="str">
        <f>IF(N("Si OR dessous = vrai, pas de box")+OR(
N("1 OR Tron ou CELL")+OR(AND(ROW(E175)&gt;=39,ROW(E175)&lt;=68),AND(ROW(E175)&gt;=99,ROW(E175)&lt;=128)),
N("2 Pas de système scanopy and range opy")+AND(ROW(E175)&gt;=219,ROW(E175)&lt;=248,SCANOPY_N_System&lt;2),
N("3 Avec LC")&amp;IF(ISERROR(LEFT(D174,SEARCH("00",D174)-3)),"",LEFT(D174,SEARCH("00",D174)-3))="LC"),"","☐ ")
&amp;
IF(N("If it's OPY, put OMount Manual instead")+
AND(ROW(D175)&gt;=219,ROW(D175)&lt;=248),
IF(SCANOPY_N_System&gt;1,
IF(SCANOPY_IndexScanner=1,"α" &amp; SCANOPY_CameraModel,SCANOPY_CameraModel_Mini) &amp; " Man",""),
IF(N("If it is Cell or Tron, Do not Show Scanner related items+No Video if LC")+OR(
AND(ROW(E175)&gt;=39,ROW(E175)&lt;=68),
AND(ROW(E175)&gt;=99,ROW(E175)&lt;=128)),
    "", IF(1=N("Si système a un scanner différent du Scanner populaire alors différent, sinon Scanner populaire")+AND(NOT(ISERROR(SEARCH("System",D174))),LEFT(D174,2)&lt;&gt;LEFT(PROD_MostPopularScanner,2)),
LEFT(D174,SEARCH("00",D174)-3),
PROD_MostPopularScanner) &amp; " Install Man"))</f>
        <v>☐ Scan. Install Man</v>
      </c>
      <c r="K175" s="507" t="str">
        <f>IF(N("If it is Cell or Tron or OPY, Do not Show Twain")+OR(AND(ROW(K175)&gt;=39,ROW(K175)&lt;=68),AND(ROW(K175)&gt;=99,ROW(K175)&lt;=128),AND(ROW(J175)&gt;=219,ROW(J175)&lt;=248)),"","☐ TWAIN")</f>
        <v>☐ TWAIN</v>
      </c>
      <c r="L175" s="508" t="str">
        <f>IF(N("Si OR dessous = vrai, pas de box")+OR(
N("1 OR Dendro+CELL, Tron+Folia,Cam")+OR(
AND(ROW(K175)&gt;=9,ROW(K175)&lt;=68),
AND(ROW(K175)&gt;=99,ROW(K175)&lt;=158),
AND(ROW(K175)&gt;=189,ROW(K175)&lt;=218)),
N("2 Pas de système scanopy and range opy")+AND(ROW(K175)&gt;=219,ROW(K175)&lt;=248,SCANOPY_N_System&lt;2),
N("3 Avec LC")&amp;IF(ISERROR(LEFT(J174,SEARCH("00",J174)-3)),"",LEFT(J174,SEARCH("00",J174)-3))="LC"),"","☐ ")
&amp;
IF(N("If it's OPY, put OMount Manual instead")+
AND(ROW(J175)&gt;=219,ROW(J175)&lt;=248),
IF(SCANOPY_N_System&gt;1,"OMount Man",""),
IF(N("If it is Dendro+CELL, Tron+Folia or Cam, Do not Show Scanner related items+No Video if LC")+OR(
AND(ROW(K175)&gt;=9,ROW(K175)&lt;=68),
AND(ROW(K175)&gt;=99,ROW(K175)&lt;=158),
AND(ROW(K175)&gt;=189,ROW(K175)&lt;=218),
IF(ISERROR(LEFT(J174,SEARCH("00",J174)-3)),"",LEFT(J174,SEARCH("00",J174)-3))="LC"),
    "", "Video " &amp; IF(1=N("Si système a un scanner différent du Scanner populaire alors différent, sinon Scanner populaire")+AND(NOT(ISERROR(SEARCH("System",J174))),LEFT(J174,2)&lt;&gt;LEFT(PROD_MostPopularScanner,2)),
LEFT(J174,SEARCH("00",J174)-3),
PROD_MostPopularScanner) &amp; " Install"))</f>
        <v>☐ Video Scan. Install</v>
      </c>
      <c r="M175" s="507" t="str">
        <f>IF(N("If it is Dendro or Tron, Do not Show Color Analysis Video")+
OR(AND(ROW(L175)&gt;=9,ROW(L175)&lt;=38),
AND(ROW(L175)&gt;=99,ROW(L175)&lt;=128)), "","☐ Video ClrAna")</f>
        <v>☐ Video ClrAna</v>
      </c>
      <c r="N175" s="508" t="str">
        <f>IF(OR(INT((ROW(D175)-10)/30)+1=2,INT((ROW(D175)-10)/30)+1=4),"","☐ ")&amp;
IF(INT((ROW(D175)-10)/30)+1=1,"Scanner.cal","")&amp;
IF(INT((ROW(D175)-10)/30)+1=2,"","")&amp;
IF(INT((ROW(D175)-10)/30)+1=3,"Scanner.cal","")&amp;
IF(INT((ROW(D175)-10)/30)+1=4,"","")&amp;
IF(INT((ROW(D175)-10)/30)+1=5,"Scanner.cal","")&amp;
IF(INT((ROW(D175)-10)/30)+1=6,"Scanner.cal","")&amp;
IF(INT((ROW(D175)-10)/30)+1=7,"Scanner.cal","")&amp;
IF(INT((ROW(D175)-10)/30)+1=8,IF(SCANOPY_Camera, "Indiv", "Gen")&amp; " Lens.cal","")</f>
        <v>☐ Scanner.cal</v>
      </c>
      <c r="O175" s="395" t="str">
        <f>IF(AND(ROW(L175)&gt;=9,ROW(L175)&lt;=38),"☐ RegentTarget.blu","")</f>
        <v/>
      </c>
      <c r="P175" s="302"/>
      <c r="Q175" s="302"/>
    </row>
    <row r="176" spans="1:17" ht="24" customHeight="1" x14ac:dyDescent="0.2">
      <c r="A176" s="566" t="s">
        <v>269</v>
      </c>
      <c r="B176" s="311" t="s">
        <v>269</v>
      </c>
      <c r="C176" s="395" t="s">
        <v>159</v>
      </c>
      <c r="D176" s="395" t="str">
        <f xml:space="preserve"> IF(N("If it is Cam, Do not Show XL")+AND(ROW(D176)&gt;=189,ROW(D176)&lt;=218),"","☐ XL Man")</f>
        <v>☐ XL Man</v>
      </c>
      <c r="E176" s="570" t="str">
        <f>IF(N("Si OR dessous = vrai, pas de box")+OR(
N("1 OR Tron ou CELL")+OR(AND(ROW(K175)&gt;=39,ROW(K175)&lt;=68),AND(ROW(K175)&gt;=99,ROW(K175)&lt;=128)),
N("2 Pas de système scanopy and range opy")+AND(ROW(K175)&gt;=219,ROW(K175)&lt;=248,SCANOPY_N_System&lt;2),
N("3 Avec LC")&amp;IF(ISERROR(LEFT(J174,SEARCH("00",J174)-3)),"",LEFT(J174,SEARCH("00",J174)-3))="LC"),"","☐ ")
&amp;
IF(N("If it's OPY, put OMount Manual instead")+
AND(ROW(J175)&gt;=219,ROW(J175)&lt;=248),
IF(SCANOPY_N_System&gt;1,"OMount Man",""),
IF(N("If it is Cell or Tron, Do not Show Scanner related items")+OR(
AND(ROW(K175)&gt;=39,ROW(K175)&lt;=68),
AND(ROW(K175)&gt;=99,ROW(K175)&lt;=128)),
    "", IF(1=N("Si système a un scanner différent du Scanner populaire alors différent, sinon Scanner populaire")+AND(NOT(ISERROR(SEARCH("System",J174))),LEFT(J174,2)&lt;&gt;LEFT(PROD_MostPopularScanner,2)),
LEFT(J174,SEARCH("00",J174)-3),
PROD_MostPopularScanner) &amp; " Install Man"))</f>
        <v>☐ Scan. Install Man</v>
      </c>
      <c r="F176" s="509" t="s">
        <v>285</v>
      </c>
      <c r="G176" s="395" t="s">
        <v>284</v>
      </c>
      <c r="H176" s="572" t="s">
        <v>260</v>
      </c>
      <c r="I176" s="510"/>
      <c r="J176" s="395" t="s">
        <v>160</v>
      </c>
      <c r="K176" s="353"/>
      <c r="L176" s="572" t="s">
        <v>734</v>
      </c>
      <c r="M176" s="395"/>
      <c r="N176" s="509"/>
      <c r="O176" s="395"/>
      <c r="P176" s="302"/>
      <c r="Q176" s="302"/>
    </row>
    <row r="177" spans="1:17" ht="16.25" customHeight="1" x14ac:dyDescent="0.2">
      <c r="A177" s="553"/>
      <c r="B177" s="383"/>
      <c r="C177" s="835" t="str">
        <f>IF((SEEDLE_N_UpgradeUpdate + SEEDLE_N_Software ) = 2,"",LEFT(INDEX(SEEDLE_SoftwareFullNames,SEEDLE_IndexSoftware),FIND(" ",INDEX(SEEDLE_SoftwareFullNames,SEEDLE_IndexSoftware),FIND(" ",INDEX(SEEDLE_SoftwareFullNames,SEEDLE_IndexSoftware))+1)) &amp;
SEEDLE_YearMostRecent )</f>
        <v/>
      </c>
      <c r="D177" s="835"/>
      <c r="E177" s="391"/>
      <c r="F177" s="391"/>
      <c r="G177" s="362" t="str">
        <f>IF(SEEDLE_OptionXL*(SEEDLE_N_Software+SEEDLE_N_UpgradeUpdate-2)&gt;=((ROW(G177)-ROW($G$159))/4+1),"XLSEEDLE "&amp; SEEDLE_YearMostRecent,"")</f>
        <v/>
      </c>
      <c r="H177" s="347"/>
      <c r="I177" s="347"/>
      <c r="J177" s="362" t="str">
        <f>IF(SEEDLE_N_System-1&gt;=((ROW(G177)-ROW($G$159))/4+1),IF(SEEDLE_IndexScanner=1,"STD4800","LA2400") &amp; " System"&amp; IF(AND(SEEDLE_ClientWithOrWithoutScanner=2,SEEDLE_N_System&gt;1)," Sans Scanner"," Avec Scanner"),
IF(AND(SEEDLE_N_Software&gt;SEEDLE_N_System,SEEDLE_N_Software-1&gt;((ROW(G177)-ROW($G$159))/4+1)),IF(N_SystemTotal=0,"Software Only",IF(N_STDScanners+N_LAScanners+N_LCScanners=0,"Software Sans Scanner","Software Avec Scanner")),
IF(SEEDLE_N_UpgradeUpdate-1&gt;=((ROW(G177)-ROW($G$159))/4+1)-(MAX(SEEDLE_N_System,SEEDLE_N_Software)-1),"Update","")))</f>
        <v/>
      </c>
      <c r="K177" s="347"/>
      <c r="L177" s="346"/>
      <c r="M177" s="346"/>
      <c r="N177" s="346"/>
      <c r="O177" s="302"/>
      <c r="P177" s="302"/>
      <c r="Q177" s="302"/>
    </row>
    <row r="178" spans="1:17" ht="24" customHeight="1" x14ac:dyDescent="0.2">
      <c r="A178" s="566" t="s">
        <v>268</v>
      </c>
      <c r="B178" s="375" t="s">
        <v>268</v>
      </c>
      <c r="C178" s="507" t="str">
        <f>"☐☐ Win" &amp;
IF(INT((ROW(D178)-10)/30)+1=1,"DEN","")&amp;
IF(INT((ROW(D178)-10)/30)+1=2,"CEL","")&amp;
IF(INT((ROW(D178)-10)/30)+1=3,"RHI","")&amp;
IF(INT((ROW(D178)-10)/30)+1=4,"RT","")&amp;
IF(INT((ROW(D178)-10)/30)+1=5,"FOL","")&amp;
IF(INT((ROW(D178)-10)/30)+1=6,"SEE","")&amp;
IF(INT((ROW(D178)-10)/30)+1=7,"CAM","")&amp;
IF(INT((ROW(D178)-10)/30)+1=8,"SCA","") &amp; ".exe"</f>
        <v>☐☐ WinSEE.exe</v>
      </c>
      <c r="D178" s="507" t="str">
        <f xml:space="preserve"> IF(N("If it is Cam, Do not Show XL")+AND(ROW(D178)&gt;=189,ROW(D178)&lt;=218),"","☐ XL" &amp;
IF(INT((ROW(D178)-10)/30)+1=1,"STEM","")&amp;
IF(INT((ROW(D178)-10)/30)+1=2,"Cell","")&amp;
IF(INT((ROW(D178)-10)/30)+1=3,"Rhizo","")&amp;
IF(INT((ROW(D178)-10)/30)+1=4,"RhizoT","")&amp;
IF(INT((ROW(D178)-10)/30)+1=5,"Folia","")&amp;
IF(INT((ROW(D178)-10)/30)+1=6,"Seedle","")&amp;
IF(INT((ROW(D178)-10)/30)+1=7,"Cam","")&amp;
IF(INT((ROW(D178)-10)/30)+1=8,"Scanopy","") &amp; ".xls")</f>
        <v>☐ XLSeedle.xls</v>
      </c>
      <c r="E178" s="507" t="s">
        <v>309</v>
      </c>
      <c r="F178" s="508" t="s">
        <v>159</v>
      </c>
      <c r="G178" s="507" t="str">
        <f xml:space="preserve"> IF(N("If it is Cam, Do not Show XL")+AND(ROW(G178)&gt;=189,ROW(G178)&lt;=218),"","☐ XL Man")</f>
        <v>☐ XL Man</v>
      </c>
      <c r="H178" s="508" t="s">
        <v>290</v>
      </c>
      <c r="I178" s="395" t="s">
        <v>284</v>
      </c>
      <c r="J178" s="508" t="str">
        <f>IF(N("Si OR dessous = vrai, pas de box")+OR(
N("1 OR Tron ou CELL")+OR(AND(ROW(E178)&gt;=39,ROW(E178)&lt;=68),AND(ROW(E178)&gt;=99,ROW(E178)&lt;=128)),
N("2 Pas de système scanopy and range opy")+AND(ROW(E178)&gt;=219,ROW(E178)&lt;=248,SCANOPY_N_System&lt;2),
N("3 Avec LC")&amp;IF(ISERROR(LEFT(D177,SEARCH("00",D177)-3)),"",LEFT(D177,SEARCH("00",D177)-3))="LC"),"","☐ ")
&amp;
IF(N("If it's OPY, put OMount Manual instead")+
AND(ROW(D178)&gt;=219,ROW(D178)&lt;=248),
IF(SCANOPY_N_System&gt;1,
IF(SCANOPY_IndexScanner=1,"α" &amp; SCANOPY_CameraModel,SCANOPY_CameraModel_Mini) &amp; " Man",""),
IF(N("If it is Cell or Tron, Do not Show Scanner related items+No Video if LC")+OR(
AND(ROW(E178)&gt;=39,ROW(E178)&lt;=68),
AND(ROW(E178)&gt;=99,ROW(E178)&lt;=128)),
    "", IF(1=N("Si système a un scanner différent du Scanner populaire alors différent, sinon Scanner populaire")+AND(NOT(ISERROR(SEARCH("System",D177))),LEFT(D177,2)&lt;&gt;LEFT(PROD_MostPopularScanner,2)),
LEFT(D177,SEARCH("00",D177)-3),
PROD_MostPopularScanner) &amp; " Install Man"))</f>
        <v>☐ Scan. Install Man</v>
      </c>
      <c r="K178" s="507" t="str">
        <f>IF(N("If it is Cell or Tron or OPY, Do not Show Twain")+OR(AND(ROW(K178)&gt;=39,ROW(K178)&lt;=68),AND(ROW(K178)&gt;=99,ROW(K178)&lt;=128),AND(ROW(J178)&gt;=219,ROW(J178)&lt;=248)),"","☐ TWAIN")</f>
        <v>☐ TWAIN</v>
      </c>
      <c r="L178" s="508" t="str">
        <f>IF(N("Si OR dessous = vrai, pas de box")+OR(
N("1 OR Dendro+CELL, Tron+Folia,Cam")+OR(
AND(ROW(K178)&gt;=9,ROW(K178)&lt;=68),
AND(ROW(K178)&gt;=99,ROW(K178)&lt;=158),
AND(ROW(K178)&gt;=189,ROW(K178)&lt;=218)),
N("2 Pas de système scanopy and range opy")+AND(ROW(K178)&gt;=219,ROW(K178)&lt;=248,SCANOPY_N_System&lt;2),
N("3 Avec LC")&amp;IF(ISERROR(LEFT(J177,SEARCH("00",J177)-3)),"",LEFT(J177,SEARCH("00",J177)-3))="LC"),"","☐ ")
&amp;
IF(N("If it's OPY, put OMount Manual instead")+
AND(ROW(J178)&gt;=219,ROW(J178)&lt;=248),
IF(SCANOPY_N_System&gt;1,"OMount Man",""),
IF(N("If it is Dendro+CELL, Tron+Folia or Cam, Do not Show Scanner related items+No Video if LC")+OR(
AND(ROW(K178)&gt;=9,ROW(K178)&lt;=68),
AND(ROW(K178)&gt;=99,ROW(K178)&lt;=158),
AND(ROW(K178)&gt;=189,ROW(K178)&lt;=218),
IF(ISERROR(LEFT(J177,SEARCH("00",J177)-3)),"",LEFT(J177,SEARCH("00",J177)-3))="LC"),
    "", "Video " &amp; IF(1=N("Si système a un scanner différent du Scanner populaire alors différent, sinon Scanner populaire")+AND(NOT(ISERROR(SEARCH("System",J177))),LEFT(J177,2)&lt;&gt;LEFT(PROD_MostPopularScanner,2)),
LEFT(J177,SEARCH("00",J177)-3),
PROD_MostPopularScanner) &amp; " Install"))</f>
        <v>☐ Video Scan. Install</v>
      </c>
      <c r="M178" s="507" t="str">
        <f>IF(N("If it is Dendro or Tron, Do not Show Color Analysis Video")+
OR(AND(ROW(L178)&gt;=9,ROW(L178)&lt;=38),
AND(ROW(L178)&gt;=99,ROW(L178)&lt;=128)), "","☐ Video ClrAna")</f>
        <v>☐ Video ClrAna</v>
      </c>
      <c r="N178" s="508" t="str">
        <f>IF(OR(INT((ROW(D178)-10)/30)+1=2,INT((ROW(D178)-10)/30)+1=4),"","☐ ")&amp;
IF(INT((ROW(D178)-10)/30)+1=1,"Scanner.cal","")&amp;
IF(INT((ROW(D178)-10)/30)+1=2,"","")&amp;
IF(INT((ROW(D178)-10)/30)+1=3,"Scanner.cal","")&amp;
IF(INT((ROW(D178)-10)/30)+1=4,"","")&amp;
IF(INT((ROW(D178)-10)/30)+1=5,"Scanner.cal","")&amp;
IF(INT((ROW(D178)-10)/30)+1=6,"Scanner.cal","")&amp;
IF(INT((ROW(D178)-10)/30)+1=7,"Scanner.cal","")&amp;
IF(INT((ROW(D178)-10)/30)+1=8,IF(SCANOPY_Camera, "Indiv", "Gen")&amp; " Lens.cal","")</f>
        <v>☐ Scanner.cal</v>
      </c>
      <c r="O178" s="395" t="str">
        <f>IF(AND(ROW(L178)&gt;=9,ROW(L178)&lt;=38),"☐ RegentTarget.blu","")</f>
        <v/>
      </c>
      <c r="P178" s="302"/>
      <c r="Q178" s="302"/>
    </row>
    <row r="179" spans="1:17" ht="24" customHeight="1" x14ac:dyDescent="0.2">
      <c r="A179" s="566" t="s">
        <v>269</v>
      </c>
      <c r="B179" s="311" t="s">
        <v>269</v>
      </c>
      <c r="C179" s="395" t="s">
        <v>159</v>
      </c>
      <c r="D179" s="395" t="str">
        <f xml:space="preserve"> IF(N("If it is Cam, Do not Show XL")+AND(ROW(D179)&gt;=189,ROW(D179)&lt;=218),"","☐ XL Man")</f>
        <v>☐ XL Man</v>
      </c>
      <c r="E179" s="570" t="str">
        <f>IF(N("Si OR dessous = vrai, pas de box")+OR(
N("1 OR Tron ou CELL")+OR(AND(ROW(K178)&gt;=39,ROW(K178)&lt;=68),AND(ROW(K178)&gt;=99,ROW(K178)&lt;=128)),
N("2 Pas de système scanopy and range opy")+AND(ROW(K178)&gt;=219,ROW(K178)&lt;=248,SCANOPY_N_System&lt;2),
N("3 Avec LC")&amp;IF(ISERROR(LEFT(J177,SEARCH("00",J177)-3)),"",LEFT(J177,SEARCH("00",J177)-3))="LC"),"","☐ ")
&amp;
IF(N("If it's OPY, put OMount Manual instead")+
AND(ROW(J178)&gt;=219,ROW(J178)&lt;=248),
IF(SCANOPY_N_System&gt;1,"OMount Man",""),
IF(N("If it is Cell or Tron, Do not Show Scanner related items")+OR(
AND(ROW(K178)&gt;=39,ROW(K178)&lt;=68),
AND(ROW(K178)&gt;=99,ROW(K178)&lt;=128)),
    "", IF(1=N("Si système a un scanner différent du Scanner populaire alors différent, sinon Scanner populaire")+AND(NOT(ISERROR(SEARCH("System",J177))),LEFT(J177,2)&lt;&gt;LEFT(PROD_MostPopularScanner,2)),
LEFT(J177,SEARCH("00",J177)-3),
PROD_MostPopularScanner) &amp; " Install Man"))</f>
        <v>☐ Scan. Install Man</v>
      </c>
      <c r="F179" s="509" t="s">
        <v>285</v>
      </c>
      <c r="G179" s="395" t="s">
        <v>284</v>
      </c>
      <c r="H179" s="572" t="s">
        <v>260</v>
      </c>
      <c r="I179" s="510"/>
      <c r="J179" s="395" t="s">
        <v>160</v>
      </c>
      <c r="K179" s="353"/>
      <c r="L179" s="572" t="s">
        <v>734</v>
      </c>
      <c r="M179" s="395"/>
      <c r="N179" s="509"/>
      <c r="O179" s="395"/>
      <c r="P179" s="302"/>
      <c r="Q179" s="302"/>
    </row>
    <row r="180" spans="1:17" ht="16.25" customHeight="1" x14ac:dyDescent="0.2">
      <c r="A180" s="553"/>
      <c r="B180" s="383"/>
      <c r="C180" s="835" t="str">
        <f>IF((SEEDLE_N_UpgradeUpdate + SEEDLE_N_Software ) = 2,"",LEFT(INDEX(SEEDLE_SoftwareFullNames,SEEDLE_IndexSoftware),FIND(" ",INDEX(SEEDLE_SoftwareFullNames,SEEDLE_IndexSoftware),FIND(" ",INDEX(SEEDLE_SoftwareFullNames,SEEDLE_IndexSoftware))+1)) &amp;
SEEDLE_YearMostRecent )</f>
        <v/>
      </c>
      <c r="D180" s="835"/>
      <c r="E180" s="391"/>
      <c r="F180" s="391"/>
      <c r="G180" s="362" t="str">
        <f>IF(SEEDLE_OptionXL*(SEEDLE_N_Software+SEEDLE_N_UpgradeUpdate-2)&gt;=((ROW(G180)-ROW($G$159))/4+1),"XLSEEDLE "&amp; SEEDLE_YearMostRecent,"")</f>
        <v/>
      </c>
      <c r="H180" s="347"/>
      <c r="I180" s="347"/>
      <c r="J180" s="362" t="str">
        <f>IF(SEEDLE_N_System-1&gt;=((ROW(G180)-ROW($G$159))/4+1),IF(SEEDLE_IndexScanner=1,"STD4800","LA2400") &amp; " System"&amp; IF(AND(SEEDLE_ClientWithOrWithoutScanner=2,SEEDLE_N_System&gt;1)," Sans Scanner"," Avec Scanner"),
IF(AND(SEEDLE_N_Software&gt;SEEDLE_N_System,SEEDLE_N_Software-1&gt;((ROW(G180)-ROW($G$159))/4+1)),IF(N_SystemTotal=0,"Software Only",IF(N_STDScanners+N_LAScanners+N_LCScanners=0,"Software Sans Scanner","Software Avec Scanner")),
IF(SEEDLE_N_UpgradeUpdate-1&gt;=((ROW(G180)-ROW($G$159))/4+1)-(MAX(SEEDLE_N_System,SEEDLE_N_Software)-1),"Update","")))</f>
        <v/>
      </c>
      <c r="K180" s="347"/>
      <c r="L180" s="346"/>
      <c r="M180" s="346"/>
      <c r="N180" s="346"/>
      <c r="O180" s="302"/>
      <c r="P180" s="302"/>
      <c r="Q180" s="302"/>
    </row>
    <row r="181" spans="1:17" ht="24" customHeight="1" x14ac:dyDescent="0.2">
      <c r="A181" s="566" t="s">
        <v>268</v>
      </c>
      <c r="B181" s="375" t="s">
        <v>268</v>
      </c>
      <c r="C181" s="507" t="str">
        <f>"☐☐ Win" &amp;
IF(INT((ROW(D181)-10)/30)+1=1,"DEN","")&amp;
IF(INT((ROW(D181)-10)/30)+1=2,"CEL","")&amp;
IF(INT((ROW(D181)-10)/30)+1=3,"RHI","")&amp;
IF(INT((ROW(D181)-10)/30)+1=4,"RT","")&amp;
IF(INT((ROW(D181)-10)/30)+1=5,"FOL","")&amp;
IF(INT((ROW(D181)-10)/30)+1=6,"SEE","")&amp;
IF(INT((ROW(D181)-10)/30)+1=7,"CAM","")&amp;
IF(INT((ROW(D181)-10)/30)+1=8,"SCA","") &amp; ".exe"</f>
        <v>☐☐ WinSEE.exe</v>
      </c>
      <c r="D181" s="507" t="str">
        <f xml:space="preserve"> IF(N("If it is Cam, Do not Show XL")+AND(ROW(D181)&gt;=189,ROW(D181)&lt;=218),"","☐ XL" &amp;
IF(INT((ROW(D181)-10)/30)+1=1,"STEM","")&amp;
IF(INT((ROW(D181)-10)/30)+1=2,"Cell","")&amp;
IF(INT((ROW(D181)-10)/30)+1=3,"Rhizo","")&amp;
IF(INT((ROW(D181)-10)/30)+1=4,"RhizoT","")&amp;
IF(INT((ROW(D181)-10)/30)+1=5,"Folia","")&amp;
IF(INT((ROW(D181)-10)/30)+1=6,"Seedle","")&amp;
IF(INT((ROW(D181)-10)/30)+1=7,"Cam","")&amp;
IF(INT((ROW(D181)-10)/30)+1=8,"Scanopy","") &amp; ".xls")</f>
        <v>☐ XLSeedle.xls</v>
      </c>
      <c r="E181" s="507" t="s">
        <v>309</v>
      </c>
      <c r="F181" s="508" t="s">
        <v>159</v>
      </c>
      <c r="G181" s="507" t="str">
        <f xml:space="preserve"> IF(N("If it is Cam, Do not Show XL")+AND(ROW(G181)&gt;=189,ROW(G181)&lt;=218),"","☐ XL Man")</f>
        <v>☐ XL Man</v>
      </c>
      <c r="H181" s="508" t="s">
        <v>290</v>
      </c>
      <c r="I181" s="395" t="s">
        <v>284</v>
      </c>
      <c r="J181" s="508" t="str">
        <f>IF(N("Si OR dessous = vrai, pas de box")+OR(
N("1 OR Tron ou CELL")+OR(AND(ROW(E181)&gt;=39,ROW(E181)&lt;=68),AND(ROW(E181)&gt;=99,ROW(E181)&lt;=128)),
N("2 Pas de système scanopy and range opy")+AND(ROW(E181)&gt;=219,ROW(E181)&lt;=248,SCANOPY_N_System&lt;2),
N("3 Avec LC")&amp;IF(ISERROR(LEFT(D180,SEARCH("00",D180)-3)),"",LEFT(D180,SEARCH("00",D180)-3))="LC"),"","☐ ")
&amp;
IF(N("If it's OPY, put OMount Manual instead")+
AND(ROW(D181)&gt;=219,ROW(D181)&lt;=248),
IF(SCANOPY_N_System&gt;1,
IF(SCANOPY_IndexScanner=1,"α" &amp; SCANOPY_CameraModel,SCANOPY_CameraModel_Mini) &amp; " Man",""),
IF(N("If it is Cell or Tron, Do not Show Scanner related items+No Video if LC")+OR(
AND(ROW(E181)&gt;=39,ROW(E181)&lt;=68),
AND(ROW(E181)&gt;=99,ROW(E181)&lt;=128)),
    "", IF(1=N("Si système a un scanner différent du Scanner populaire alors différent, sinon Scanner populaire")+AND(NOT(ISERROR(SEARCH("System",D180))),LEFT(D180,2)&lt;&gt;LEFT(PROD_MostPopularScanner,2)),
LEFT(D180,SEARCH("00",D180)-3),
PROD_MostPopularScanner) &amp; " Install Man"))</f>
        <v>☐ Scan. Install Man</v>
      </c>
      <c r="K181" s="507" t="str">
        <f>IF(N("If it is Cell or Tron or OPY, Do not Show Twain")+OR(AND(ROW(K181)&gt;=39,ROW(K181)&lt;=68),AND(ROW(K181)&gt;=99,ROW(K181)&lt;=128),AND(ROW(J181)&gt;=219,ROW(J181)&lt;=248)),"","☐ TWAIN")</f>
        <v>☐ TWAIN</v>
      </c>
      <c r="L181" s="508" t="str">
        <f>IF(N("Si OR dessous = vrai, pas de box")+OR(
N("1 OR Dendro+CELL, Tron+Folia,Cam")+OR(
AND(ROW(K181)&gt;=9,ROW(K181)&lt;=68),
AND(ROW(K181)&gt;=99,ROW(K181)&lt;=158),
AND(ROW(K181)&gt;=189,ROW(K181)&lt;=218)),
N("2 Pas de système scanopy and range opy")+AND(ROW(K181)&gt;=219,ROW(K181)&lt;=248,SCANOPY_N_System&lt;2),
N("3 Avec LC")&amp;IF(ISERROR(LEFT(J180,SEARCH("00",J180)-3)),"",LEFT(J180,SEARCH("00",J180)-3))="LC"),"","☐ ")
&amp;
IF(N("If it's OPY, put OMount Manual instead")+
AND(ROW(J181)&gt;=219,ROW(J181)&lt;=248),
IF(SCANOPY_N_System&gt;1,"OMount Man",""),
IF(N("If it is Dendro+CELL, Tron+Folia or Cam, Do not Show Scanner related items+No Video if LC")+OR(
AND(ROW(K181)&gt;=9,ROW(K181)&lt;=68),
AND(ROW(K181)&gt;=99,ROW(K181)&lt;=158),
AND(ROW(K181)&gt;=189,ROW(K181)&lt;=218),
IF(ISERROR(LEFT(J180,SEARCH("00",J180)-3)),"",LEFT(J180,SEARCH("00",J180)-3))="LC"),
    "", "Video " &amp; IF(1=N("Si système a un scanner différent du Scanner populaire alors différent, sinon Scanner populaire")+AND(NOT(ISERROR(SEARCH("System",J180))),LEFT(J180,2)&lt;&gt;LEFT(PROD_MostPopularScanner,2)),
LEFT(J180,SEARCH("00",J180)-3),
PROD_MostPopularScanner) &amp; " Install"))</f>
        <v>☐ Video Scan. Install</v>
      </c>
      <c r="M181" s="507" t="str">
        <f>IF(N("If it is Dendro or Tron, Do not Show Color Analysis Video")+
OR(AND(ROW(L181)&gt;=9,ROW(L181)&lt;=38),
AND(ROW(L181)&gt;=99,ROW(L181)&lt;=128)), "","☐ Video ClrAna")</f>
        <v>☐ Video ClrAna</v>
      </c>
      <c r="N181" s="508" t="str">
        <f>IF(OR(INT((ROW(D181)-10)/30)+1=2,INT((ROW(D181)-10)/30)+1=4),"","☐ ")&amp;
IF(INT((ROW(D181)-10)/30)+1=1,"Scanner.cal","")&amp;
IF(INT((ROW(D181)-10)/30)+1=2,"","")&amp;
IF(INT((ROW(D181)-10)/30)+1=3,"Scanner.cal","")&amp;
IF(INT((ROW(D181)-10)/30)+1=4,"","")&amp;
IF(INT((ROW(D181)-10)/30)+1=5,"Scanner.cal","")&amp;
IF(INT((ROW(D181)-10)/30)+1=6,"Scanner.cal","")&amp;
IF(INT((ROW(D181)-10)/30)+1=7,"Scanner.cal","")&amp;
IF(INT((ROW(D181)-10)/30)+1=8,IF(SCANOPY_Camera, "Indiv", "Gen")&amp; " Lens.cal","")</f>
        <v>☐ Scanner.cal</v>
      </c>
      <c r="O181" s="395" t="str">
        <f>IF(AND(ROW(L181)&gt;=9,ROW(L181)&lt;=38),"☐ RegentTarget.blu","")</f>
        <v/>
      </c>
      <c r="P181" s="302"/>
      <c r="Q181" s="302"/>
    </row>
    <row r="182" spans="1:17" ht="24" customHeight="1" x14ac:dyDescent="0.2">
      <c r="A182" s="566" t="s">
        <v>269</v>
      </c>
      <c r="B182" s="311" t="s">
        <v>269</v>
      </c>
      <c r="C182" s="395" t="s">
        <v>159</v>
      </c>
      <c r="D182" s="395" t="str">
        <f xml:space="preserve"> IF(N("If it is Cam, Do not Show XL")+AND(ROW(D182)&gt;=189,ROW(D182)&lt;=218),"","☐ XL Man")</f>
        <v>☐ XL Man</v>
      </c>
      <c r="E182" s="570" t="str">
        <f>IF(N("Si OR dessous = vrai, pas de box")+OR(
N("1 OR Tron ou CELL")+OR(AND(ROW(K181)&gt;=39,ROW(K181)&lt;=68),AND(ROW(K181)&gt;=99,ROW(K181)&lt;=128)),
N("2 Pas de système scanopy and range opy")+AND(ROW(K181)&gt;=219,ROW(K181)&lt;=248,SCANOPY_N_System&lt;2),
N("3 Avec LC")&amp;IF(ISERROR(LEFT(J180,SEARCH("00",J180)-3)),"",LEFT(J180,SEARCH("00",J180)-3))="LC"),"","☐ ")
&amp;
IF(N("If it's OPY, put OMount Manual instead")+
AND(ROW(J181)&gt;=219,ROW(J181)&lt;=248),
IF(SCANOPY_N_System&gt;1,"OMount Man",""),
IF(N("If it is Cell or Tron, Do not Show Scanner related items")+OR(
AND(ROW(K181)&gt;=39,ROW(K181)&lt;=68),
AND(ROW(K181)&gt;=99,ROW(K181)&lt;=128)),
    "", IF(1=N("Si système a un scanner différent du Scanner populaire alors différent, sinon Scanner populaire")+AND(NOT(ISERROR(SEARCH("System",J180))),LEFT(J180,2)&lt;&gt;LEFT(PROD_MostPopularScanner,2)),
LEFT(J180,SEARCH("00",J180)-3),
PROD_MostPopularScanner) &amp; " Install Man"))</f>
        <v>☐ Scan. Install Man</v>
      </c>
      <c r="F182" s="509" t="s">
        <v>285</v>
      </c>
      <c r="G182" s="395" t="s">
        <v>284</v>
      </c>
      <c r="H182" s="572" t="s">
        <v>260</v>
      </c>
      <c r="I182" s="510"/>
      <c r="J182" s="395" t="s">
        <v>160</v>
      </c>
      <c r="K182" s="353"/>
      <c r="L182" s="572" t="s">
        <v>734</v>
      </c>
      <c r="M182" s="395"/>
      <c r="N182" s="509"/>
      <c r="O182" s="395"/>
      <c r="P182" s="302"/>
      <c r="Q182" s="302"/>
    </row>
    <row r="183" spans="1:17" ht="16.25" customHeight="1" x14ac:dyDescent="0.2">
      <c r="A183" s="553"/>
      <c r="B183" s="383"/>
      <c r="C183" s="835" t="str">
        <f>IF((SEEDLE_N_UpgradeUpdate + SEEDLE_N_Software ) = 2,"",LEFT(INDEX(SEEDLE_SoftwareFullNames,SEEDLE_IndexSoftware),FIND(" ",INDEX(SEEDLE_SoftwareFullNames,SEEDLE_IndexSoftware),FIND(" ",INDEX(SEEDLE_SoftwareFullNames,SEEDLE_IndexSoftware))+1)) &amp;
SEEDLE_YearMostRecent )</f>
        <v/>
      </c>
      <c r="D183" s="835"/>
      <c r="E183" s="391"/>
      <c r="F183" s="391"/>
      <c r="G183" s="362" t="str">
        <f>IF(SEEDLE_OptionXL*(SEEDLE_N_Software+SEEDLE_N_UpgradeUpdate-2)&gt;=((ROW(G183)-ROW($G$159))/4+1),"XLSEEDLE "&amp; SEEDLE_YearMostRecent,"")</f>
        <v/>
      </c>
      <c r="H183" s="347"/>
      <c r="I183" s="347"/>
      <c r="J183" s="362" t="str">
        <f>IF(SEEDLE_N_System-1&gt;=((ROW(G183)-ROW($G$159))/4+1),IF(SEEDLE_IndexScanner=1,"STD4800","LA2400") &amp; " System"&amp; IF(AND(SEEDLE_ClientWithOrWithoutScanner=2,SEEDLE_N_System&gt;1)," Sans Scanner"," Avec Scanner"),
IF(AND(SEEDLE_N_Software&gt;SEEDLE_N_System,SEEDLE_N_Software-1&gt;((ROW(G183)-ROW($G$159))/4+1)),IF(N_SystemTotal=0,"Software Only",IF(N_STDScanners+N_LAScanners+N_LCScanners=0,"Software Sans Scanner","Software Avec Scanner")),
IF(SEEDLE_N_UpgradeUpdate-1&gt;=((ROW(G183)-ROW($G$159))/4+1)-(MAX(SEEDLE_N_System,SEEDLE_N_Software)-1),"Update","")))</f>
        <v/>
      </c>
      <c r="K183" s="347"/>
      <c r="L183" s="346"/>
      <c r="M183" s="346"/>
      <c r="N183" s="346"/>
      <c r="O183" s="302"/>
      <c r="P183" s="302"/>
      <c r="Q183" s="302"/>
    </row>
    <row r="184" spans="1:17" ht="24" customHeight="1" x14ac:dyDescent="0.2">
      <c r="A184" s="566" t="s">
        <v>268</v>
      </c>
      <c r="B184" s="375" t="s">
        <v>268</v>
      </c>
      <c r="C184" s="507" t="str">
        <f>"☐☐ Win" &amp;
IF(INT((ROW(D184)-10)/30)+1=1,"DEN","")&amp;
IF(INT((ROW(D184)-10)/30)+1=2,"CEL","")&amp;
IF(INT((ROW(D184)-10)/30)+1=3,"RHI","")&amp;
IF(INT((ROW(D184)-10)/30)+1=4,"RT","")&amp;
IF(INT((ROW(D184)-10)/30)+1=5,"FOL","")&amp;
IF(INT((ROW(D184)-10)/30)+1=6,"SEE","")&amp;
IF(INT((ROW(D184)-10)/30)+1=7,"CAM","")&amp;
IF(INT((ROW(D184)-10)/30)+1=8,"SCA","") &amp; ".exe"</f>
        <v>☐☐ WinSEE.exe</v>
      </c>
      <c r="D184" s="507" t="str">
        <f xml:space="preserve"> IF(N("If it is Cam, Do not Show XL")+AND(ROW(D184)&gt;=189,ROW(D184)&lt;=218),"","☐ XL" &amp;
IF(INT((ROW(D184)-10)/30)+1=1,"STEM","")&amp;
IF(INT((ROW(D184)-10)/30)+1=2,"Cell","")&amp;
IF(INT((ROW(D184)-10)/30)+1=3,"Rhizo","")&amp;
IF(INT((ROW(D184)-10)/30)+1=4,"RhizoT","")&amp;
IF(INT((ROW(D184)-10)/30)+1=5,"Folia","")&amp;
IF(INT((ROW(D184)-10)/30)+1=6,"Seedle","")&amp;
IF(INT((ROW(D184)-10)/30)+1=7,"Cam","")&amp;
IF(INT((ROW(D184)-10)/30)+1=8,"Scanopy","") &amp; ".xls")</f>
        <v>☐ XLSeedle.xls</v>
      </c>
      <c r="E184" s="507" t="s">
        <v>309</v>
      </c>
      <c r="F184" s="508" t="s">
        <v>159</v>
      </c>
      <c r="G184" s="507" t="str">
        <f xml:space="preserve"> IF(N("If it is Cam, Do not Show XL")+AND(ROW(G184)&gt;=189,ROW(G184)&lt;=218),"","☐ XL Man")</f>
        <v>☐ XL Man</v>
      </c>
      <c r="H184" s="508" t="s">
        <v>290</v>
      </c>
      <c r="I184" s="395" t="s">
        <v>284</v>
      </c>
      <c r="J184" s="508" t="str">
        <f>IF(N("Si OR dessous = vrai, pas de box")+OR(
N("1 OR Tron ou CELL")+OR(AND(ROW(E184)&gt;=39,ROW(E184)&lt;=68),AND(ROW(E184)&gt;=99,ROW(E184)&lt;=128)),
N("2 Pas de système scanopy and range opy")+AND(ROW(E184)&gt;=219,ROW(E184)&lt;=248,SCANOPY_N_System&lt;2),
N("3 Avec LC")&amp;IF(ISERROR(LEFT(D183,SEARCH("00",D183)-3)),"",LEFT(D183,SEARCH("00",D183)-3))="LC"),"","☐ ")
&amp;
IF(N("If it's OPY, put OMount Manual instead")+
AND(ROW(D184)&gt;=219,ROW(D184)&lt;=248),
IF(SCANOPY_N_System&gt;1,
IF(SCANOPY_IndexScanner=1,"α" &amp; SCANOPY_CameraModel,SCANOPY_CameraModel_Mini) &amp; " Man",""),
IF(N("If it is Cell or Tron, Do not Show Scanner related items+No Video if LC")+OR(
AND(ROW(E184)&gt;=39,ROW(E184)&lt;=68),
AND(ROW(E184)&gt;=99,ROW(E184)&lt;=128)),
    "", IF(1=N("Si système a un scanner différent du Scanner populaire alors différent, sinon Scanner populaire")+AND(NOT(ISERROR(SEARCH("System",D183))),LEFT(D183,2)&lt;&gt;LEFT(PROD_MostPopularScanner,2)),
LEFT(D183,SEARCH("00",D183)-3),
PROD_MostPopularScanner) &amp; " Install Man"))</f>
        <v>☐ Scan. Install Man</v>
      </c>
      <c r="K184" s="507" t="str">
        <f>IF(N("If it is Cell or Tron or OPY, Do not Show Twain")+OR(AND(ROW(K184)&gt;=39,ROW(K184)&lt;=68),AND(ROW(K184)&gt;=99,ROW(K184)&lt;=128),AND(ROW(J184)&gt;=219,ROW(J184)&lt;=248)),"","☐ TWAIN")</f>
        <v>☐ TWAIN</v>
      </c>
      <c r="L184" s="508" t="str">
        <f>IF(N("Si OR dessous = vrai, pas de box")+OR(
N("1 OR Dendro+CELL, Tron+Folia,Cam")+OR(
AND(ROW(K184)&gt;=9,ROW(K184)&lt;=68),
AND(ROW(K184)&gt;=99,ROW(K184)&lt;=158),
AND(ROW(K184)&gt;=189,ROW(K184)&lt;=218)),
N("2 Pas de système scanopy and range opy")+AND(ROW(K184)&gt;=219,ROW(K184)&lt;=248,SCANOPY_N_System&lt;2),
N("3 Avec LC")&amp;IF(ISERROR(LEFT(J183,SEARCH("00",J183)-3)),"",LEFT(J183,SEARCH("00",J183)-3))="LC"),"","☐ ")
&amp;
IF(N("If it's OPY, put OMount Manual instead")+
AND(ROW(J184)&gt;=219,ROW(J184)&lt;=248),
IF(SCANOPY_N_System&gt;1,"OMount Man",""),
IF(N("If it is Dendro+CELL, Tron+Folia or Cam, Do not Show Scanner related items+No Video if LC")+OR(
AND(ROW(K184)&gt;=9,ROW(K184)&lt;=68),
AND(ROW(K184)&gt;=99,ROW(K184)&lt;=158),
AND(ROW(K184)&gt;=189,ROW(K184)&lt;=218),
IF(ISERROR(LEFT(J183,SEARCH("00",J183)-3)),"",LEFT(J183,SEARCH("00",J183)-3))="LC"),
    "", "Video " &amp; IF(1=N("Si système a un scanner différent du Scanner populaire alors différent, sinon Scanner populaire")+AND(NOT(ISERROR(SEARCH("System",J183))),LEFT(J183,2)&lt;&gt;LEFT(PROD_MostPopularScanner,2)),
LEFT(J183,SEARCH("00",J183)-3),
PROD_MostPopularScanner) &amp; " Install"))</f>
        <v>☐ Video Scan. Install</v>
      </c>
      <c r="M184" s="507" t="str">
        <f>IF(N("If it is Dendro or Tron, Do not Show Color Analysis Video")+
OR(AND(ROW(L184)&gt;=9,ROW(L184)&lt;=38),
AND(ROW(L184)&gt;=99,ROW(L184)&lt;=128)), "","☐ Video ClrAna")</f>
        <v>☐ Video ClrAna</v>
      </c>
      <c r="N184" s="508" t="str">
        <f>IF(OR(INT((ROW(D184)-10)/30)+1=2,INT((ROW(D184)-10)/30)+1=4),"","☐ ")&amp;
IF(INT((ROW(D184)-10)/30)+1=1,"Scanner.cal","")&amp;
IF(INT((ROW(D184)-10)/30)+1=2,"","")&amp;
IF(INT((ROW(D184)-10)/30)+1=3,"Scanner.cal","")&amp;
IF(INT((ROW(D184)-10)/30)+1=4,"","")&amp;
IF(INT((ROW(D184)-10)/30)+1=5,"Scanner.cal","")&amp;
IF(INT((ROW(D184)-10)/30)+1=6,"Scanner.cal","")&amp;
IF(INT((ROW(D184)-10)/30)+1=7,"Scanner.cal","")&amp;
IF(INT((ROW(D184)-10)/30)+1=8,IF(SCANOPY_Camera, "Indiv", "Gen")&amp; " Lens.cal","")</f>
        <v>☐ Scanner.cal</v>
      </c>
      <c r="O184" s="395" t="str">
        <f>IF(AND(ROW(L184)&gt;=9,ROW(L184)&lt;=38),"☐ RegentTarget.blu","")</f>
        <v/>
      </c>
      <c r="P184" s="302"/>
      <c r="Q184" s="302"/>
    </row>
    <row r="185" spans="1:17" ht="24" customHeight="1" x14ac:dyDescent="0.2">
      <c r="A185" s="566" t="s">
        <v>269</v>
      </c>
      <c r="B185" s="311" t="s">
        <v>269</v>
      </c>
      <c r="C185" s="395" t="s">
        <v>159</v>
      </c>
      <c r="D185" s="395" t="str">
        <f xml:space="preserve"> IF(N("If it is Cam, Do not Show XL")+AND(ROW(D185)&gt;=189,ROW(D185)&lt;=218),"","☐ XL Man")</f>
        <v>☐ XL Man</v>
      </c>
      <c r="E185" s="570" t="str">
        <f>IF(N("Si OR dessous = vrai, pas de box")+OR(
N("1 OR Tron ou CELL")+OR(AND(ROW(K184)&gt;=39,ROW(K184)&lt;=68),AND(ROW(K184)&gt;=99,ROW(K184)&lt;=128)),
N("2 Pas de système scanopy and range opy")+AND(ROW(K184)&gt;=219,ROW(K184)&lt;=248,SCANOPY_N_System&lt;2),
N("3 Avec LC")&amp;IF(ISERROR(LEFT(J183,SEARCH("00",J183)-3)),"",LEFT(J183,SEARCH("00",J183)-3))="LC"),"","☐ ")
&amp;
IF(N("If it's OPY, put OMount Manual instead")+
AND(ROW(J184)&gt;=219,ROW(J184)&lt;=248),
IF(SCANOPY_N_System&gt;1,"OMount Man",""),
IF(N("If it is Cell or Tron, Do not Show Scanner related items")+OR(
AND(ROW(K184)&gt;=39,ROW(K184)&lt;=68),
AND(ROW(K184)&gt;=99,ROW(K184)&lt;=128)),
    "", IF(1=N("Si système a un scanner différent du Scanner populaire alors différent, sinon Scanner populaire")+AND(NOT(ISERROR(SEARCH("System",J183))),LEFT(J183,2)&lt;&gt;LEFT(PROD_MostPopularScanner,2)),
LEFT(J183,SEARCH("00",J183)-3),
PROD_MostPopularScanner) &amp; " Install Man"))</f>
        <v>☐ Scan. Install Man</v>
      </c>
      <c r="F185" s="509" t="s">
        <v>285</v>
      </c>
      <c r="G185" s="395" t="s">
        <v>284</v>
      </c>
      <c r="H185" s="572" t="s">
        <v>260</v>
      </c>
      <c r="I185" s="510"/>
      <c r="J185" s="395" t="s">
        <v>160</v>
      </c>
      <c r="K185" s="353"/>
      <c r="L185" s="572" t="s">
        <v>734</v>
      </c>
      <c r="M185" s="395"/>
      <c r="N185" s="509"/>
      <c r="O185" s="395"/>
      <c r="P185" s="302"/>
      <c r="Q185" s="302"/>
    </row>
    <row r="186" spans="1:17" ht="16.25" customHeight="1" x14ac:dyDescent="0.2">
      <c r="A186" s="553"/>
      <c r="B186" s="383"/>
      <c r="C186" s="835" t="str">
        <f>IF((SEEDLE_N_UpgradeUpdate + SEEDLE_N_Software ) = 2,"",LEFT(INDEX(SEEDLE_SoftwareFullNames,SEEDLE_IndexSoftware),FIND(" ",INDEX(SEEDLE_SoftwareFullNames,SEEDLE_IndexSoftware),FIND(" ",INDEX(SEEDLE_SoftwareFullNames,SEEDLE_IndexSoftware))+1)) &amp;
SEEDLE_YearMostRecent )</f>
        <v/>
      </c>
      <c r="D186" s="835"/>
      <c r="E186" s="391"/>
      <c r="F186" s="391"/>
      <c r="G186" s="362" t="str">
        <f>IF(SEEDLE_OptionXL*(SEEDLE_N_Software+SEEDLE_N_UpgradeUpdate-2)&gt;=((ROW(G186)-ROW($G$159))/4+1),"XLSEEDLE "&amp; SEEDLE_YearMostRecent,"")</f>
        <v/>
      </c>
      <c r="H186" s="347"/>
      <c r="I186" s="347"/>
      <c r="J186" s="362" t="str">
        <f>IF(SEEDLE_N_System-1&gt;=((ROW(G186)-ROW($G$159))/4+1),IF(SEEDLE_IndexScanner=1,"STD4800","LA2400") &amp; " System"&amp; IF(AND(SEEDLE_ClientWithOrWithoutScanner=2,SEEDLE_N_System&gt;1)," Sans Scanner"," Avec Scanner"),
IF(AND(SEEDLE_N_Software&gt;SEEDLE_N_System,SEEDLE_N_Software-1&gt;((ROW(G186)-ROW($G$159))/4+1)),IF(N_SystemTotal=0,"Software Only",IF(N_STDScanners+N_LAScanners+N_LCScanners=0,"Software Sans Scanner","Software Avec Scanner")),
IF(SEEDLE_N_UpgradeUpdate-1&gt;=((ROW(G186)-ROW($G$159))/4+1)-(MAX(SEEDLE_N_System,SEEDLE_N_Software)-1),"Update","")))</f>
        <v/>
      </c>
      <c r="K186" s="347"/>
      <c r="L186" s="346"/>
      <c r="M186" s="346"/>
      <c r="N186" s="346"/>
      <c r="O186" s="302"/>
      <c r="P186" s="302"/>
      <c r="Q186" s="302"/>
    </row>
    <row r="187" spans="1:17" ht="24" customHeight="1" x14ac:dyDescent="0.2">
      <c r="A187" s="566" t="s">
        <v>268</v>
      </c>
      <c r="B187" s="375" t="s">
        <v>268</v>
      </c>
      <c r="C187" s="507" t="str">
        <f>"☐☐ Win" &amp;
IF(INT((ROW(D187)-10)/30)+1=1,"DEN","")&amp;
IF(INT((ROW(D187)-10)/30)+1=2,"CEL","")&amp;
IF(INT((ROW(D187)-10)/30)+1=3,"RHI","")&amp;
IF(INT((ROW(D187)-10)/30)+1=4,"RT","")&amp;
IF(INT((ROW(D187)-10)/30)+1=5,"FOL","")&amp;
IF(INT((ROW(D187)-10)/30)+1=6,"SEE","")&amp;
IF(INT((ROW(D187)-10)/30)+1=7,"CAM","")&amp;
IF(INT((ROW(D187)-10)/30)+1=8,"SCA","") &amp; ".exe"</f>
        <v>☐☐ WinSEE.exe</v>
      </c>
      <c r="D187" s="507" t="str">
        <f xml:space="preserve"> IF(N("If it is Cam, Do not Show XL")+AND(ROW(D187)&gt;=189,ROW(D187)&lt;=218),"","☐ XL" &amp;
IF(INT((ROW(D187)-10)/30)+1=1,"STEM","")&amp;
IF(INT((ROW(D187)-10)/30)+1=2,"Cell","")&amp;
IF(INT((ROW(D187)-10)/30)+1=3,"Rhizo","")&amp;
IF(INT((ROW(D187)-10)/30)+1=4,"RhizoT","")&amp;
IF(INT((ROW(D187)-10)/30)+1=5,"Folia","")&amp;
IF(INT((ROW(D187)-10)/30)+1=6,"Seedle","")&amp;
IF(INT((ROW(D187)-10)/30)+1=7,"Cam","")&amp;
IF(INT((ROW(D187)-10)/30)+1=8,"Scanopy","") &amp; ".xls")</f>
        <v>☐ XLSeedle.xls</v>
      </c>
      <c r="E187" s="507" t="s">
        <v>309</v>
      </c>
      <c r="F187" s="508" t="s">
        <v>159</v>
      </c>
      <c r="G187" s="507" t="str">
        <f xml:space="preserve"> IF(N("If it is Cam, Do not Show XL")+AND(ROW(G187)&gt;=189,ROW(G187)&lt;=218),"","☐ XL Man")</f>
        <v>☐ XL Man</v>
      </c>
      <c r="H187" s="508" t="s">
        <v>290</v>
      </c>
      <c r="I187" s="395" t="s">
        <v>284</v>
      </c>
      <c r="J187" s="508" t="str">
        <f>IF(N("Si OR dessous = vrai, pas de box")+OR(
N("1 OR Tron ou CELL")+OR(AND(ROW(E187)&gt;=39,ROW(E187)&lt;=68),AND(ROW(E187)&gt;=99,ROW(E187)&lt;=128)),
N("2 Pas de système scanopy and range opy")+AND(ROW(E187)&gt;=219,ROW(E187)&lt;=248,SCANOPY_N_System&lt;2),
N("3 Avec LC")&amp;IF(ISERROR(LEFT(D186,SEARCH("00",D186)-3)),"",LEFT(D186,SEARCH("00",D186)-3))="LC"),"","☐ ")
&amp;
IF(N("If it's OPY, put OMount Manual instead")+
AND(ROW(D187)&gt;=219,ROW(D187)&lt;=248),
IF(SCANOPY_N_System&gt;1,
IF(SCANOPY_IndexScanner=1,"α" &amp; SCANOPY_CameraModel,SCANOPY_CameraModel_Mini) &amp; " Man",""),
IF(N("If it is Cell or Tron, Do not Show Scanner related items+No Video if LC")+OR(
AND(ROW(E187)&gt;=39,ROW(E187)&lt;=68),
AND(ROW(E187)&gt;=99,ROW(E187)&lt;=128)),
    "", IF(1=N("Si système a un scanner différent du Scanner populaire alors différent, sinon Scanner populaire")+AND(NOT(ISERROR(SEARCH("System",D186))),LEFT(D186,2)&lt;&gt;LEFT(PROD_MostPopularScanner,2)),
LEFT(D186,SEARCH("00",D186)-3),
PROD_MostPopularScanner) &amp; " Install Man"))</f>
        <v>☐ Scan. Install Man</v>
      </c>
      <c r="K187" s="507" t="str">
        <f>IF(N("If it is Cell or Tron or OPY, Do not Show Twain")+OR(AND(ROW(K187)&gt;=39,ROW(K187)&lt;=68),AND(ROW(K187)&gt;=99,ROW(K187)&lt;=128),AND(ROW(J187)&gt;=219,ROW(J187)&lt;=248)),"","☐ TWAIN")</f>
        <v>☐ TWAIN</v>
      </c>
      <c r="L187" s="508" t="str">
        <f>IF(N("Si OR dessous = vrai, pas de box")+OR(
N("1 OR Dendro+CELL, Tron+Folia,Cam")+OR(
AND(ROW(K187)&gt;=9,ROW(K187)&lt;=68),
AND(ROW(K187)&gt;=99,ROW(K187)&lt;=158),
AND(ROW(K187)&gt;=189,ROW(K187)&lt;=218)),
N("2 Pas de système scanopy and range opy")+AND(ROW(K187)&gt;=219,ROW(K187)&lt;=248,SCANOPY_N_System&lt;2),
N("3 Avec LC")&amp;IF(ISERROR(LEFT(J186,SEARCH("00",J186)-3)),"",LEFT(J186,SEARCH("00",J186)-3))="LC"),"","☐ ")
&amp;
IF(N("If it's OPY, put OMount Manual instead")+
AND(ROW(J187)&gt;=219,ROW(J187)&lt;=248),
IF(SCANOPY_N_System&gt;1,"OMount Man",""),
IF(N("If it is Dendro+CELL, Tron+Folia or Cam, Do not Show Scanner related items+No Video if LC")+OR(
AND(ROW(K187)&gt;=9,ROW(K187)&lt;=68),
AND(ROW(K187)&gt;=99,ROW(K187)&lt;=158),
AND(ROW(K187)&gt;=189,ROW(K187)&lt;=218),
IF(ISERROR(LEFT(J186,SEARCH("00",J186)-3)),"",LEFT(J186,SEARCH("00",J186)-3))="LC"),
    "", "Video " &amp; IF(1=N("Si système a un scanner différent du Scanner populaire alors différent, sinon Scanner populaire")+AND(NOT(ISERROR(SEARCH("System",J186))),LEFT(J186,2)&lt;&gt;LEFT(PROD_MostPopularScanner,2)),
LEFT(J186,SEARCH("00",J186)-3),
PROD_MostPopularScanner) &amp; " Install"))</f>
        <v>☐ Video Scan. Install</v>
      </c>
      <c r="M187" s="507" t="str">
        <f>IF(N("If it is Dendro or Tron, Do not Show Color Analysis Video")+
OR(AND(ROW(L187)&gt;=9,ROW(L187)&lt;=38),
AND(ROW(L187)&gt;=99,ROW(L187)&lt;=128)), "","☐ Video ClrAna")</f>
        <v>☐ Video ClrAna</v>
      </c>
      <c r="N187" s="508" t="str">
        <f>IF(OR(INT((ROW(D187)-10)/30)+1=2,INT((ROW(D187)-10)/30)+1=4),"","☐ ")&amp;
IF(INT((ROW(D187)-10)/30)+1=1,"Scanner.cal","")&amp;
IF(INT((ROW(D187)-10)/30)+1=2,"","")&amp;
IF(INT((ROW(D187)-10)/30)+1=3,"Scanner.cal","")&amp;
IF(INT((ROW(D187)-10)/30)+1=4,"","")&amp;
IF(INT((ROW(D187)-10)/30)+1=5,"Scanner.cal","")&amp;
IF(INT((ROW(D187)-10)/30)+1=6,"Scanner.cal","")&amp;
IF(INT((ROW(D187)-10)/30)+1=7,"Scanner.cal","")&amp;
IF(INT((ROW(D187)-10)/30)+1=8,IF(SCANOPY_Camera, "Indiv", "Gen")&amp; " Lens.cal","")</f>
        <v>☐ Scanner.cal</v>
      </c>
      <c r="O187" s="395" t="str">
        <f>IF(AND(ROW(L187)&gt;=9,ROW(L187)&lt;=38),"☐ RegentTarget.blu","")</f>
        <v/>
      </c>
      <c r="P187" s="302"/>
      <c r="Q187" s="302"/>
    </row>
    <row r="188" spans="1:17" ht="24" customHeight="1" x14ac:dyDescent="0.2">
      <c r="A188" s="566" t="s">
        <v>269</v>
      </c>
      <c r="B188" s="311" t="s">
        <v>269</v>
      </c>
      <c r="C188" s="395" t="s">
        <v>159</v>
      </c>
      <c r="D188" s="395" t="str">
        <f xml:space="preserve"> IF(N("If it is Cam, Do not Show XL")+AND(ROW(D188)&gt;=189,ROW(D188)&lt;=218),"","☐ XL Man")</f>
        <v>☐ XL Man</v>
      </c>
      <c r="E188" s="570" t="str">
        <f>IF(N("Si OR dessous = vrai, pas de box")+OR(
N("1 OR Tron ou CELL")+OR(AND(ROW(K187)&gt;=39,ROW(K187)&lt;=68),AND(ROW(K187)&gt;=99,ROW(K187)&lt;=128)),
N("2 Pas de système scanopy and range opy")+AND(ROW(K187)&gt;=219,ROW(K187)&lt;=248,SCANOPY_N_System&lt;2),
N("3 Avec LC")&amp;IF(ISERROR(LEFT(J186,SEARCH("00",J186)-3)),"",LEFT(J186,SEARCH("00",J186)-3))="LC"),"","☐ ")
&amp;
IF(N("If it's OPY, put OMount Manual instead")+
AND(ROW(J187)&gt;=219,ROW(J187)&lt;=248),
IF(SCANOPY_N_System&gt;1,"OMount Man",""),
IF(N("If it is Cell or Tron, Do not Show Scanner related items")+OR(
AND(ROW(K187)&gt;=39,ROW(K187)&lt;=68),
AND(ROW(K187)&gt;=99,ROW(K187)&lt;=128)),
    "", IF(1=N("Si système a un scanner différent du Scanner populaire alors différent, sinon Scanner populaire")+AND(NOT(ISERROR(SEARCH("System",J186))),LEFT(J186,2)&lt;&gt;LEFT(PROD_MostPopularScanner,2)),
LEFT(J186,SEARCH("00",J186)-3),
PROD_MostPopularScanner) &amp; " Install Man"))</f>
        <v>☐ Scan. Install Man</v>
      </c>
      <c r="F188" s="509" t="s">
        <v>285</v>
      </c>
      <c r="G188" s="395" t="s">
        <v>284</v>
      </c>
      <c r="H188" s="572" t="s">
        <v>260</v>
      </c>
      <c r="I188" s="510"/>
      <c r="J188" s="395" t="s">
        <v>160</v>
      </c>
      <c r="K188" s="353"/>
      <c r="L188" s="572" t="s">
        <v>734</v>
      </c>
      <c r="M188" s="395"/>
      <c r="N188" s="509"/>
      <c r="O188" s="395"/>
      <c r="P188" s="302"/>
      <c r="Q188" s="302"/>
    </row>
    <row r="189" spans="1:17" ht="16.25" customHeight="1" x14ac:dyDescent="0.2">
      <c r="A189" s="554"/>
      <c r="B189" s="384"/>
      <c r="C189" s="836" t="str">
        <f>IF((CAM_N_UpgradeUpdate + CAM_N_Software ) = 2,"",LEFT(INDEX(CAM_SoftwareFullNames,CAM_IndexSoftware),FIND(" ",INDEX(CAM_SoftwareFullNames,CAM_IndexSoftware),FIND(" ",INDEX(CAM_SoftwareFullNames,CAM_IndexSoftware))+6)) &amp;
CAM_YearMostRecent )</f>
        <v/>
      </c>
      <c r="D189" s="836"/>
      <c r="E189" s="392"/>
      <c r="F189" s="392"/>
      <c r="G189" s="363"/>
      <c r="H189" s="349"/>
      <c r="I189" s="349"/>
      <c r="J189" s="363" t="str">
        <f>IF(CAM_N_System-1&gt;=((ROW(G189)-ROW($G$189))/4+1),IF(CAM_IndexScanner=1,"STD4800",IF(CAM_IndexScanner=2,"LA2400","LC4800P")) &amp; " System"&amp; IF(AND(CAM_ClientWithOrWithoutScanner=2,CAM_N_System&gt;1)," Sans Scanner"," Avec Scanner"),
IF(AND(CAM_N_Software&gt;CAM_N_System,CAM_N_Software-1&gt;((ROW(G189)-ROW($G$189))/4+1)),IF(N_SystemTotal=0,"Software Only",IF(N_STDScanners+N_LAScanners+N_LCScanners=0,"Software Sans Scanner","Software Avec Scanner")),
IF(CAM_N_UpgradeUpdate-1&gt;=((ROW(G189)-ROW($G$189))/4+1)-(MAX(CAM_N_System,CAM_N_Software)-1),"Update","")))</f>
        <v/>
      </c>
      <c r="K189" s="349"/>
      <c r="L189" s="348"/>
      <c r="M189" s="348"/>
      <c r="N189" s="348"/>
      <c r="O189" s="302"/>
      <c r="P189" s="302"/>
      <c r="Q189" s="302"/>
    </row>
    <row r="190" spans="1:17" ht="24" customHeight="1" x14ac:dyDescent="0.2">
      <c r="A190" s="567" t="s">
        <v>268</v>
      </c>
      <c r="B190" s="375" t="s">
        <v>268</v>
      </c>
      <c r="C190" s="507" t="str">
        <f>"☐☐ Win" &amp;
IF(INT((ROW(D190)-10)/30)+1=1,"DEN","")&amp;
IF(INT((ROW(D190)-10)/30)+1=2,"CEL","")&amp;
IF(INT((ROW(D190)-10)/30)+1=3,"RHI","")&amp;
IF(INT((ROW(D190)-10)/30)+1=4,"RT","")&amp;
IF(INT((ROW(D190)-10)/30)+1=5,"FOL","")&amp;
IF(INT((ROW(D190)-10)/30)+1=6,"SEE","")&amp;
IF(INT((ROW(D190)-10)/30)+1=7,"CAM","")&amp;
IF(INT((ROW(D190)-10)/30)+1=8,"SCA","") &amp; ".exe"</f>
        <v>☐☐ WinCAM.exe</v>
      </c>
      <c r="D190" s="507" t="str">
        <f xml:space="preserve"> IF(N("If it is Cam, Do not Show XL")+AND(ROW(D190)&gt;=189,ROW(D190)&lt;=218),"","☐ XL" &amp;
IF(INT((ROW(D190)-10)/30)+1=1,"STEM","")&amp;
IF(INT((ROW(D190)-10)/30)+1=2,"Cell","")&amp;
IF(INT((ROW(D190)-10)/30)+1=3,"Rhizo","")&amp;
IF(INT((ROW(D190)-10)/30)+1=4,"RhizoT","")&amp;
IF(INT((ROW(D190)-10)/30)+1=5,"Folia","")&amp;
IF(INT((ROW(D190)-10)/30)+1=6,"Seedle","")&amp;
IF(INT((ROW(D190)-10)/30)+1=7,"Cam","")&amp;
IF(INT((ROW(D190)-10)/30)+1=8,"Scanopy","") &amp; ".xls")</f>
        <v/>
      </c>
      <c r="E190" s="507" t="s">
        <v>309</v>
      </c>
      <c r="F190" s="508" t="s">
        <v>159</v>
      </c>
      <c r="G190" s="507" t="str">
        <f xml:space="preserve"> IF(N("If it is Cam, Do not Show XL")+AND(ROW(G190)&gt;=189,ROW(G190)&lt;=218),"","☐ XL Man")</f>
        <v/>
      </c>
      <c r="H190" s="508" t="s">
        <v>290</v>
      </c>
      <c r="I190" s="395" t="s">
        <v>284</v>
      </c>
      <c r="J190" s="508" t="str">
        <f>IF(N("Si OR dessous = vrai, pas de box")+OR(
N("1 OR Tron ou CELL")+OR(AND(ROW(E190)&gt;=39,ROW(E190)&lt;=68),AND(ROW(E190)&gt;=99,ROW(E190)&lt;=128)),
N("2 Pas de système scanopy and range opy")+AND(ROW(E190)&gt;=219,ROW(E190)&lt;=248,SCANOPY_N_System&lt;2),
N("3 Avec LC")&amp;IF(ISERROR(LEFT(D189,SEARCH("00",D189)-3)),"",LEFT(D189,SEARCH("00",D189)-3))="LC"),"","☐ ")
&amp;
IF(N("If it's OPY, put OMount Manual instead")+
AND(ROW(D190)&gt;=219,ROW(D190)&lt;=248),
IF(SCANOPY_N_System&gt;1,
IF(SCANOPY_IndexScanner=1,"α" &amp; SCANOPY_CameraModel,SCANOPY_CameraModel_Mini) &amp; " Man",""),
IF(N("If it is Cell or Tron, Do not Show Scanner related items+No Video if LC")+OR(
AND(ROW(E190)&gt;=39,ROW(E190)&lt;=68),
AND(ROW(E190)&gt;=99,ROW(E190)&lt;=128)),
    "", IF(1=N("Si système a un scanner différent du Scanner populaire alors différent, sinon Scanner populaire")+AND(NOT(ISERROR(SEARCH("System",D189))),LEFT(D189,2)&lt;&gt;LEFT(PROD_MostPopularScanner,2)),
LEFT(D189,SEARCH("00",D189)-3),
PROD_MostPopularScanner) &amp; " Install Man"))</f>
        <v>☐ Scan. Install Man</v>
      </c>
      <c r="K190" s="507" t="str">
        <f>IF(N("If it is Cell or Tron or OPY, Do not Show Twain")+OR(AND(ROW(K190)&gt;=39,ROW(K190)&lt;=68),AND(ROW(K190)&gt;=99,ROW(K190)&lt;=128),AND(ROW(J190)&gt;=219,ROW(J190)&lt;=248)),"","☐ TWAIN")</f>
        <v>☐ TWAIN</v>
      </c>
      <c r="L190" s="508" t="str">
        <f>IF(N("Si OR dessous = vrai, pas de box")+OR(
N("1 OR Dendro+CELL, Tron+Folia,Cam")+OR(
AND(ROW(K190)&gt;=9,ROW(K190)&lt;=68),
AND(ROW(K190)&gt;=99,ROW(K190)&lt;=158),
AND(ROW(K190)&gt;=189,ROW(K190)&lt;=218)),
N("2 Pas de système scanopy and range opy")+AND(ROW(K190)&gt;=219,ROW(K190)&lt;=248,SCANOPY_N_System&lt;2),
N("3 Avec LC")&amp;IF(ISERROR(LEFT(J189,SEARCH("00",J189)-3)),"",LEFT(J189,SEARCH("00",J189)-3))="LC"),"","☐ ")
&amp;
IF(N("If it's OPY, put OMount Manual instead")+
AND(ROW(J190)&gt;=219,ROW(J190)&lt;=248),
IF(SCANOPY_N_System&gt;1,"OMount Man",""),
IF(N("If it is Dendro+CELL, Tron+Folia or Cam, Do not Show Scanner related items+No Video if LC")+OR(
AND(ROW(K190)&gt;=9,ROW(K190)&lt;=68),
AND(ROW(K190)&gt;=99,ROW(K190)&lt;=158),
AND(ROW(K190)&gt;=189,ROW(K190)&lt;=218),
IF(ISERROR(LEFT(J189,SEARCH("00",J189)-3)),"",LEFT(J189,SEARCH("00",J189)-3))="LC"),
    "", "Video " &amp; IF(1=N("Si système a un scanner différent du Scanner populaire alors différent, sinon Scanner populaire")+AND(NOT(ISERROR(SEARCH("System",J189))),LEFT(J189,2)&lt;&gt;LEFT(PROD_MostPopularScanner,2)),
LEFT(J189,SEARCH("00",J189)-3),
PROD_MostPopularScanner) &amp; " Install"))</f>
        <v/>
      </c>
      <c r="M190" s="507" t="str">
        <f>IF(N("If it is Dendro or Tron, Do not Show Color Analysis Video")+
OR(AND(ROW(L190)&gt;=9,ROW(L190)&lt;=38),
AND(ROW(L190)&gt;=99,ROW(L190)&lt;=128)), "","☐ Video ClrAna")</f>
        <v>☐ Video ClrAna</v>
      </c>
      <c r="N190" s="508" t="str">
        <f>IF(OR(INT((ROW(D190)-10)/30)+1=2,INT((ROW(D190)-10)/30)+1=4),"","☐ ")&amp;
IF(INT((ROW(D190)-10)/30)+1=1,"Scanner.cal","")&amp;
IF(INT((ROW(D190)-10)/30)+1=2,"","")&amp;
IF(INT((ROW(D190)-10)/30)+1=3,"Scanner.cal","")&amp;
IF(INT((ROW(D190)-10)/30)+1=4,"","")&amp;
IF(INT((ROW(D190)-10)/30)+1=5,"Scanner.cal","")&amp;
IF(INT((ROW(D190)-10)/30)+1=6,"Scanner.cal","")&amp;
IF(INT((ROW(D190)-10)/30)+1=7,"Scanner.cal","")&amp;
IF(INT((ROW(D190)-10)/30)+1=8,IF(SCANOPY_Camera, "Indiv", "Gen")&amp; " Lens.cal","")</f>
        <v>☐ Scanner.cal</v>
      </c>
      <c r="O190" s="395" t="str">
        <f>IF(AND(ROW(L190)&gt;=9,ROW(L190)&lt;=38),"☐ RegentTarget.blu","")</f>
        <v/>
      </c>
      <c r="P190" s="302"/>
      <c r="Q190" s="302"/>
    </row>
    <row r="191" spans="1:17" ht="24" customHeight="1" x14ac:dyDescent="0.2">
      <c r="A191" s="567" t="s">
        <v>269</v>
      </c>
      <c r="B191" s="311" t="s">
        <v>269</v>
      </c>
      <c r="C191" s="395" t="s">
        <v>159</v>
      </c>
      <c r="D191" s="395" t="str">
        <f xml:space="preserve"> IF(N("If it is Cam, Do not Show XL")+AND(ROW(D191)&gt;=189,ROW(D191)&lt;=218),"","☐ XL Man")</f>
        <v/>
      </c>
      <c r="E191" s="570" t="str">
        <f>IF(N("Si OR dessous = vrai, pas de box")+OR(
N("1 OR Tron ou CELL")+OR(AND(ROW(K190)&gt;=39,ROW(K190)&lt;=68),AND(ROW(K190)&gt;=99,ROW(K190)&lt;=128)),
N("2 Pas de système scanopy and range opy")+AND(ROW(K190)&gt;=219,ROW(K190)&lt;=248,SCANOPY_N_System&lt;2),
N("3 Avec LC")&amp;IF(ISERROR(LEFT(J189,SEARCH("00",J189)-3)),"",LEFT(J189,SEARCH("00",J189)-3))="LC"),"","☐ ")
&amp;
IF(N("If it's OPY, put OMount Manual instead")+
AND(ROW(J190)&gt;=219,ROW(J190)&lt;=248),
IF(SCANOPY_N_System&gt;1,"OMount Man",""),
IF(N("If it is Cell or Tron, Do not Show Scanner related items")+OR(
AND(ROW(K190)&gt;=39,ROW(K190)&lt;=68),
AND(ROW(K190)&gt;=99,ROW(K190)&lt;=128)),
    "", IF(1=N("Si système a un scanner différent du Scanner populaire alors différent, sinon Scanner populaire")+AND(NOT(ISERROR(SEARCH("System",J189))),LEFT(J189,2)&lt;&gt;LEFT(PROD_MostPopularScanner,2)),
LEFT(J189,SEARCH("00",J189)-3),
PROD_MostPopularScanner) &amp; " Install Man"))</f>
        <v>☐ Scan. Install Man</v>
      </c>
      <c r="F191" s="509" t="s">
        <v>285</v>
      </c>
      <c r="G191" s="395" t="s">
        <v>284</v>
      </c>
      <c r="H191" s="572" t="s">
        <v>260</v>
      </c>
      <c r="I191" s="510"/>
      <c r="J191" s="395" t="s">
        <v>160</v>
      </c>
      <c r="K191" s="353"/>
      <c r="L191" s="572" t="s">
        <v>734</v>
      </c>
      <c r="M191" s="395"/>
      <c r="N191" s="509"/>
      <c r="O191" s="395"/>
      <c r="P191" s="302"/>
      <c r="Q191" s="302"/>
    </row>
    <row r="192" spans="1:17" ht="16.25" customHeight="1" x14ac:dyDescent="0.2">
      <c r="A192" s="554"/>
      <c r="B192" s="384"/>
      <c r="C192" s="836" t="str">
        <f>IF((CAM_N_UpgradeUpdate + CAM_N_Software ) = 2,"",LEFT(INDEX(CAM_SoftwareFullNames,CAM_IndexSoftware),FIND(" ",INDEX(CAM_SoftwareFullNames,CAM_IndexSoftware),FIND(" ",INDEX(CAM_SoftwareFullNames,CAM_IndexSoftware))+6)) &amp;
CAM_YearMostRecent )</f>
        <v/>
      </c>
      <c r="D192" s="836"/>
      <c r="E192" s="392"/>
      <c r="F192" s="392"/>
      <c r="G192" s="363"/>
      <c r="H192" s="349"/>
      <c r="I192" s="349"/>
      <c r="J192" s="363" t="str">
        <f>IF(CAM_N_System-1&gt;=((ROW(G192)-ROW($G$189))/4+1),IF(CAM_IndexScanner=1,"STD4800",IF(CAM_IndexScanner=2,"LA2400","LC4800P")) &amp; " System"&amp; IF(AND(CAM_ClientWithOrWithoutScanner=2,CAM_N_System&gt;1)," Sans Scanner"," Avec Scanner"),
IF(AND(CAM_N_Software&gt;CAM_N_System,CAM_N_Software-1&gt;((ROW(G192)-ROW($G$189))/4+1)),IF(N_SystemTotal=0,"Software Only",IF(N_STDScanners+N_LAScanners+N_LCScanners=0,"Software Sans Scanner","Software Avec Scanner")),
IF(CAM_N_UpgradeUpdate-1&gt;=((ROW(G192)-ROW($G$189))/4+1)-(MAX(CAM_N_System,CAM_N_Software)-1),"Update","")))</f>
        <v/>
      </c>
      <c r="K192" s="349"/>
      <c r="L192" s="348"/>
      <c r="M192" s="348"/>
      <c r="N192" s="348"/>
      <c r="O192" s="302"/>
      <c r="P192" s="302"/>
      <c r="Q192" s="302"/>
    </row>
    <row r="193" spans="1:17" ht="24" customHeight="1" x14ac:dyDescent="0.2">
      <c r="A193" s="567" t="s">
        <v>268</v>
      </c>
      <c r="B193" s="375" t="s">
        <v>268</v>
      </c>
      <c r="C193" s="507" t="str">
        <f>"☐☐ Win" &amp;
IF(INT((ROW(D193)-10)/30)+1=1,"DEN","")&amp;
IF(INT((ROW(D193)-10)/30)+1=2,"CEL","")&amp;
IF(INT((ROW(D193)-10)/30)+1=3,"RHI","")&amp;
IF(INT((ROW(D193)-10)/30)+1=4,"RT","")&amp;
IF(INT((ROW(D193)-10)/30)+1=5,"FOL","")&amp;
IF(INT((ROW(D193)-10)/30)+1=6,"SEE","")&amp;
IF(INT((ROW(D193)-10)/30)+1=7,"CAM","")&amp;
IF(INT((ROW(D193)-10)/30)+1=8,"SCA","") &amp; ".exe"</f>
        <v>☐☐ WinCAM.exe</v>
      </c>
      <c r="D193" s="507" t="str">
        <f xml:space="preserve"> IF(N("If it is Cam, Do not Show XL")+AND(ROW(D193)&gt;=189,ROW(D193)&lt;=218),"","☐ XL" &amp;
IF(INT((ROW(D193)-10)/30)+1=1,"STEM","")&amp;
IF(INT((ROW(D193)-10)/30)+1=2,"Cell","")&amp;
IF(INT((ROW(D193)-10)/30)+1=3,"Rhizo","")&amp;
IF(INT((ROW(D193)-10)/30)+1=4,"RhizoT","")&amp;
IF(INT((ROW(D193)-10)/30)+1=5,"Folia","")&amp;
IF(INT((ROW(D193)-10)/30)+1=6,"Seedle","")&amp;
IF(INT((ROW(D193)-10)/30)+1=7,"Cam","")&amp;
IF(INT((ROW(D193)-10)/30)+1=8,"Scanopy","") &amp; ".xls")</f>
        <v/>
      </c>
      <c r="E193" s="507" t="s">
        <v>309</v>
      </c>
      <c r="F193" s="508" t="s">
        <v>159</v>
      </c>
      <c r="G193" s="507" t="str">
        <f xml:space="preserve"> IF(N("If it is Cam, Do not Show XL")+AND(ROW(G193)&gt;=189,ROW(G193)&lt;=218),"","☐ XL Man")</f>
        <v/>
      </c>
      <c r="H193" s="508" t="s">
        <v>290</v>
      </c>
      <c r="I193" s="395" t="s">
        <v>284</v>
      </c>
      <c r="J193" s="508" t="str">
        <f>IF(N("Si OR dessous = vrai, pas de box")+OR(
N("1 OR Tron ou CELL")+OR(AND(ROW(E193)&gt;=39,ROW(E193)&lt;=68),AND(ROW(E193)&gt;=99,ROW(E193)&lt;=128)),
N("2 Pas de système scanopy and range opy")+AND(ROW(E193)&gt;=219,ROW(E193)&lt;=248,SCANOPY_N_System&lt;2),
N("3 Avec LC")&amp;IF(ISERROR(LEFT(D192,SEARCH("00",D192)-3)),"",LEFT(D192,SEARCH("00",D192)-3))="LC"),"","☐ ")
&amp;
IF(N("If it's OPY, put OMount Manual instead")+
AND(ROW(D193)&gt;=219,ROW(D193)&lt;=248),
IF(SCANOPY_N_System&gt;1,
IF(SCANOPY_IndexScanner=1,"α" &amp; SCANOPY_CameraModel,SCANOPY_CameraModel_Mini) &amp; " Man",""),
IF(N("If it is Cell or Tron, Do not Show Scanner related items+No Video if LC")+OR(
AND(ROW(E193)&gt;=39,ROW(E193)&lt;=68),
AND(ROW(E193)&gt;=99,ROW(E193)&lt;=128)),
    "", IF(1=N("Si système a un scanner différent du Scanner populaire alors différent, sinon Scanner populaire")+AND(NOT(ISERROR(SEARCH("System",D192))),LEFT(D192,2)&lt;&gt;LEFT(PROD_MostPopularScanner,2)),
LEFT(D192,SEARCH("00",D192)-3),
PROD_MostPopularScanner) &amp; " Install Man"))</f>
        <v>☐ Scan. Install Man</v>
      </c>
      <c r="K193" s="507" t="str">
        <f>IF(N("If it is Cell or Tron or OPY, Do not Show Twain")+OR(AND(ROW(K193)&gt;=39,ROW(K193)&lt;=68),AND(ROW(K193)&gt;=99,ROW(K193)&lt;=128),AND(ROW(J193)&gt;=219,ROW(J193)&lt;=248)),"","☐ TWAIN")</f>
        <v>☐ TWAIN</v>
      </c>
      <c r="L193" s="508" t="str">
        <f>IF(N("Si OR dessous = vrai, pas de box")+OR(
N("1 OR Dendro+CELL, Tron+Folia,Cam")+OR(
AND(ROW(K193)&gt;=9,ROW(K193)&lt;=68),
AND(ROW(K193)&gt;=99,ROW(K193)&lt;=158),
AND(ROW(K193)&gt;=189,ROW(K193)&lt;=218)),
N("2 Pas de système scanopy and range opy")+AND(ROW(K193)&gt;=219,ROW(K193)&lt;=248,SCANOPY_N_System&lt;2),
N("3 Avec LC")&amp;IF(ISERROR(LEFT(J192,SEARCH("00",J192)-3)),"",LEFT(J192,SEARCH("00",J192)-3))="LC"),"","☐ ")
&amp;
IF(N("If it's OPY, put OMount Manual instead")+
AND(ROW(J193)&gt;=219,ROW(J193)&lt;=248),
IF(SCANOPY_N_System&gt;1,"OMount Man",""),
IF(N("If it is Dendro+CELL, Tron+Folia or Cam, Do not Show Scanner related items+No Video if LC")+OR(
AND(ROW(K193)&gt;=9,ROW(K193)&lt;=68),
AND(ROW(K193)&gt;=99,ROW(K193)&lt;=158),
AND(ROW(K193)&gt;=189,ROW(K193)&lt;=218),
IF(ISERROR(LEFT(J192,SEARCH("00",J192)-3)),"",LEFT(J192,SEARCH("00",J192)-3))="LC"),
    "", "Video " &amp; IF(1=N("Si système a un scanner différent du Scanner populaire alors différent, sinon Scanner populaire")+AND(NOT(ISERROR(SEARCH("System",J192))),LEFT(J192,2)&lt;&gt;LEFT(PROD_MostPopularScanner,2)),
LEFT(J192,SEARCH("00",J192)-3),
PROD_MostPopularScanner) &amp; " Install"))</f>
        <v/>
      </c>
      <c r="M193" s="507" t="str">
        <f>IF(N("If it is Dendro or Tron, Do not Show Color Analysis Video")+
OR(AND(ROW(L193)&gt;=9,ROW(L193)&lt;=38),
AND(ROW(L193)&gt;=99,ROW(L193)&lt;=128)), "","☐ Video ClrAna")</f>
        <v>☐ Video ClrAna</v>
      </c>
      <c r="N193" s="508" t="str">
        <f>IF(OR(INT((ROW(D193)-10)/30)+1=2,INT((ROW(D193)-10)/30)+1=4),"","☐ ")&amp;
IF(INT((ROW(D193)-10)/30)+1=1,"Scanner.cal","")&amp;
IF(INT((ROW(D193)-10)/30)+1=2,"","")&amp;
IF(INT((ROW(D193)-10)/30)+1=3,"Scanner.cal","")&amp;
IF(INT((ROW(D193)-10)/30)+1=4,"","")&amp;
IF(INT((ROW(D193)-10)/30)+1=5,"Scanner.cal","")&amp;
IF(INT((ROW(D193)-10)/30)+1=6,"Scanner.cal","")&amp;
IF(INT((ROW(D193)-10)/30)+1=7,"Scanner.cal","")&amp;
IF(INT((ROW(D193)-10)/30)+1=8,IF(SCANOPY_Camera, "Indiv", "Gen")&amp; " Lens.cal","")</f>
        <v>☐ Scanner.cal</v>
      </c>
      <c r="O193" s="395" t="str">
        <f>IF(AND(ROW(L193)&gt;=9,ROW(L193)&lt;=38),"☐ RegentTarget.blu","")</f>
        <v/>
      </c>
      <c r="P193" s="302"/>
      <c r="Q193" s="302"/>
    </row>
    <row r="194" spans="1:17" ht="24" customHeight="1" x14ac:dyDescent="0.2">
      <c r="A194" s="567" t="s">
        <v>269</v>
      </c>
      <c r="B194" s="311" t="s">
        <v>269</v>
      </c>
      <c r="C194" s="395" t="s">
        <v>159</v>
      </c>
      <c r="D194" s="395" t="str">
        <f xml:space="preserve"> IF(N("If it is Cam, Do not Show XL")+AND(ROW(D194)&gt;=189,ROW(D194)&lt;=218),"","☐ XL Man")</f>
        <v/>
      </c>
      <c r="E194" s="570" t="str">
        <f>IF(N("Si OR dessous = vrai, pas de box")+OR(
N("1 OR Tron ou CELL")+OR(AND(ROW(K193)&gt;=39,ROW(K193)&lt;=68),AND(ROW(K193)&gt;=99,ROW(K193)&lt;=128)),
N("2 Pas de système scanopy and range opy")+AND(ROW(K193)&gt;=219,ROW(K193)&lt;=248,SCANOPY_N_System&lt;2),
N("3 Avec LC")&amp;IF(ISERROR(LEFT(J192,SEARCH("00",J192)-3)),"",LEFT(J192,SEARCH("00",J192)-3))="LC"),"","☐ ")
&amp;
IF(N("If it's OPY, put OMount Manual instead")+
AND(ROW(J193)&gt;=219,ROW(J193)&lt;=248),
IF(SCANOPY_N_System&gt;1,"OMount Man",""),
IF(N("If it is Cell or Tron, Do not Show Scanner related items")+OR(
AND(ROW(K193)&gt;=39,ROW(K193)&lt;=68),
AND(ROW(K193)&gt;=99,ROW(K193)&lt;=128)),
    "", IF(1=N("Si système a un scanner différent du Scanner populaire alors différent, sinon Scanner populaire")+AND(NOT(ISERROR(SEARCH("System",J192))),LEFT(J192,2)&lt;&gt;LEFT(PROD_MostPopularScanner,2)),
LEFT(J192,SEARCH("00",J192)-3),
PROD_MostPopularScanner) &amp; " Install Man"))</f>
        <v>☐ Scan. Install Man</v>
      </c>
      <c r="F194" s="509" t="s">
        <v>285</v>
      </c>
      <c r="G194" s="395" t="s">
        <v>284</v>
      </c>
      <c r="H194" s="572" t="s">
        <v>260</v>
      </c>
      <c r="I194" s="510"/>
      <c r="J194" s="395" t="s">
        <v>160</v>
      </c>
      <c r="K194" s="353"/>
      <c r="L194" s="572" t="s">
        <v>734</v>
      </c>
      <c r="M194" s="395"/>
      <c r="N194" s="509"/>
      <c r="O194" s="395"/>
      <c r="P194" s="302"/>
      <c r="Q194" s="302"/>
    </row>
    <row r="195" spans="1:17" ht="16.25" customHeight="1" x14ac:dyDescent="0.2">
      <c r="A195" s="554"/>
      <c r="B195" s="384"/>
      <c r="C195" s="836" t="str">
        <f>IF((CAM_N_UpgradeUpdate + CAM_N_Software ) = 2,"",LEFT(INDEX(CAM_SoftwareFullNames,CAM_IndexSoftware),FIND(" ",INDEX(CAM_SoftwareFullNames,CAM_IndexSoftware),FIND(" ",INDEX(CAM_SoftwareFullNames,CAM_IndexSoftware))+6)) &amp;
CAM_YearMostRecent )</f>
        <v/>
      </c>
      <c r="D195" s="836"/>
      <c r="E195" s="392"/>
      <c r="F195" s="392"/>
      <c r="G195" s="363"/>
      <c r="H195" s="349"/>
      <c r="I195" s="349"/>
      <c r="J195" s="363" t="str">
        <f>IF(CAM_N_System-1&gt;=((ROW(G195)-ROW($G$189))/4+1),IF(CAM_IndexScanner=1,"STD4800",IF(CAM_IndexScanner=2,"LA2400","LC4800P")) &amp; " System"&amp; IF(AND(CAM_ClientWithOrWithoutScanner=2,CAM_N_System&gt;1)," Sans Scanner"," Avec Scanner"),
IF(AND(CAM_N_Software&gt;CAM_N_System,CAM_N_Software-1&gt;((ROW(G195)-ROW($G$189))/4+1)),IF(N_SystemTotal=0,"Software Only",IF(N_STDScanners+N_LAScanners+N_LCScanners=0,"Software Sans Scanner","Software Avec Scanner")),
IF(CAM_N_UpgradeUpdate-1&gt;=((ROW(G195)-ROW($G$189))/4+1)-(MAX(CAM_N_System,CAM_N_Software)-1),"Update","")))</f>
        <v/>
      </c>
      <c r="K195" s="349"/>
      <c r="L195" s="348"/>
      <c r="M195" s="348"/>
      <c r="N195" s="348"/>
      <c r="O195" s="302"/>
      <c r="P195" s="302"/>
      <c r="Q195" s="302"/>
    </row>
    <row r="196" spans="1:17" ht="24" customHeight="1" x14ac:dyDescent="0.2">
      <c r="A196" s="567" t="s">
        <v>268</v>
      </c>
      <c r="B196" s="375" t="s">
        <v>268</v>
      </c>
      <c r="C196" s="507" t="str">
        <f>"☐☐ Win" &amp;
IF(INT((ROW(D196)-10)/30)+1=1,"DEN","")&amp;
IF(INT((ROW(D196)-10)/30)+1=2,"CEL","")&amp;
IF(INT((ROW(D196)-10)/30)+1=3,"RHI","")&amp;
IF(INT((ROW(D196)-10)/30)+1=4,"RT","")&amp;
IF(INT((ROW(D196)-10)/30)+1=5,"FOL","")&amp;
IF(INT((ROW(D196)-10)/30)+1=6,"SEE","")&amp;
IF(INT((ROW(D196)-10)/30)+1=7,"CAM","")&amp;
IF(INT((ROW(D196)-10)/30)+1=8,"SCA","") &amp; ".exe"</f>
        <v>☐☐ WinCAM.exe</v>
      </c>
      <c r="D196" s="507" t="str">
        <f xml:space="preserve"> IF(N("If it is Cam, Do not Show XL")+AND(ROW(D196)&gt;=189,ROW(D196)&lt;=218),"","☐ XL" &amp;
IF(INT((ROW(D196)-10)/30)+1=1,"STEM","")&amp;
IF(INT((ROW(D196)-10)/30)+1=2,"Cell","")&amp;
IF(INT((ROW(D196)-10)/30)+1=3,"Rhizo","")&amp;
IF(INT((ROW(D196)-10)/30)+1=4,"RhizoT","")&amp;
IF(INT((ROW(D196)-10)/30)+1=5,"Folia","")&amp;
IF(INT((ROW(D196)-10)/30)+1=6,"Seedle","")&amp;
IF(INT((ROW(D196)-10)/30)+1=7,"Cam","")&amp;
IF(INT((ROW(D196)-10)/30)+1=8,"Scanopy","") &amp; ".xls")</f>
        <v/>
      </c>
      <c r="E196" s="507" t="s">
        <v>309</v>
      </c>
      <c r="F196" s="508" t="s">
        <v>159</v>
      </c>
      <c r="G196" s="507" t="str">
        <f xml:space="preserve"> IF(N("If it is Cam, Do not Show XL")+AND(ROW(G196)&gt;=189,ROW(G196)&lt;=218),"","☐ XL Man")</f>
        <v/>
      </c>
      <c r="H196" s="508" t="s">
        <v>290</v>
      </c>
      <c r="I196" s="395" t="s">
        <v>284</v>
      </c>
      <c r="J196" s="508" t="str">
        <f>IF(N("Si OR dessous = vrai, pas de box")+OR(
N("1 OR Tron ou CELL")+OR(AND(ROW(E196)&gt;=39,ROW(E196)&lt;=68),AND(ROW(E196)&gt;=99,ROW(E196)&lt;=128)),
N("2 Pas de système scanopy and range opy")+AND(ROW(E196)&gt;=219,ROW(E196)&lt;=248,SCANOPY_N_System&lt;2),
N("3 Avec LC")&amp;IF(ISERROR(LEFT(D195,SEARCH("00",D195)-3)),"",LEFT(D195,SEARCH("00",D195)-3))="LC"),"","☐ ")
&amp;
IF(N("If it's OPY, put OMount Manual instead")+
AND(ROW(D196)&gt;=219,ROW(D196)&lt;=248),
IF(SCANOPY_N_System&gt;1,
IF(SCANOPY_IndexScanner=1,"α" &amp; SCANOPY_CameraModel,SCANOPY_CameraModel_Mini) &amp; " Man",""),
IF(N("If it is Cell or Tron, Do not Show Scanner related items+No Video if LC")+OR(
AND(ROW(E196)&gt;=39,ROW(E196)&lt;=68),
AND(ROW(E196)&gt;=99,ROW(E196)&lt;=128)),
    "", IF(1=N("Si système a un scanner différent du Scanner populaire alors différent, sinon Scanner populaire")+AND(NOT(ISERROR(SEARCH("System",D195))),LEFT(D195,2)&lt;&gt;LEFT(PROD_MostPopularScanner,2)),
LEFT(D195,SEARCH("00",D195)-3),
PROD_MostPopularScanner) &amp; " Install Man"))</f>
        <v>☐ Scan. Install Man</v>
      </c>
      <c r="K196" s="507" t="str">
        <f>IF(N("If it is Cell or Tron or OPY, Do not Show Twain")+OR(AND(ROW(K196)&gt;=39,ROW(K196)&lt;=68),AND(ROW(K196)&gt;=99,ROW(K196)&lt;=128),AND(ROW(J196)&gt;=219,ROW(J196)&lt;=248)),"","☐ TWAIN")</f>
        <v>☐ TWAIN</v>
      </c>
      <c r="L196" s="508" t="str">
        <f>IF(N("Si OR dessous = vrai, pas de box")+OR(
N("1 OR Dendro+CELL, Tron+Folia,Cam")+OR(
AND(ROW(K196)&gt;=9,ROW(K196)&lt;=68),
AND(ROW(K196)&gt;=99,ROW(K196)&lt;=158),
AND(ROW(K196)&gt;=189,ROW(K196)&lt;=218)),
N("2 Pas de système scanopy and range opy")+AND(ROW(K196)&gt;=219,ROW(K196)&lt;=248,SCANOPY_N_System&lt;2),
N("3 Avec LC")&amp;IF(ISERROR(LEFT(J195,SEARCH("00",J195)-3)),"",LEFT(J195,SEARCH("00",J195)-3))="LC"),"","☐ ")
&amp;
IF(N("If it's OPY, put OMount Manual instead")+
AND(ROW(J196)&gt;=219,ROW(J196)&lt;=248),
IF(SCANOPY_N_System&gt;1,"OMount Man",""),
IF(N("If it is Dendro+CELL, Tron+Folia or Cam, Do not Show Scanner related items+No Video if LC")+OR(
AND(ROW(K196)&gt;=9,ROW(K196)&lt;=68),
AND(ROW(K196)&gt;=99,ROW(K196)&lt;=158),
AND(ROW(K196)&gt;=189,ROW(K196)&lt;=218),
IF(ISERROR(LEFT(J195,SEARCH("00",J195)-3)),"",LEFT(J195,SEARCH("00",J195)-3))="LC"),
    "", "Video " &amp; IF(1=N("Si système a un scanner différent du Scanner populaire alors différent, sinon Scanner populaire")+AND(NOT(ISERROR(SEARCH("System",J195))),LEFT(J195,2)&lt;&gt;LEFT(PROD_MostPopularScanner,2)),
LEFT(J195,SEARCH("00",J195)-3),
PROD_MostPopularScanner) &amp; " Install"))</f>
        <v/>
      </c>
      <c r="M196" s="507" t="str">
        <f>IF(N("If it is Dendro or Tron, Do not Show Color Analysis Video")+
OR(AND(ROW(L196)&gt;=9,ROW(L196)&lt;=38),
AND(ROW(L196)&gt;=99,ROW(L196)&lt;=128)), "","☐ Video ClrAna")</f>
        <v>☐ Video ClrAna</v>
      </c>
      <c r="N196" s="508" t="str">
        <f>IF(OR(INT((ROW(D196)-10)/30)+1=2,INT((ROW(D196)-10)/30)+1=4),"","☐ ")&amp;
IF(INT((ROW(D196)-10)/30)+1=1,"Scanner.cal","")&amp;
IF(INT((ROW(D196)-10)/30)+1=2,"","")&amp;
IF(INT((ROW(D196)-10)/30)+1=3,"Scanner.cal","")&amp;
IF(INT((ROW(D196)-10)/30)+1=4,"","")&amp;
IF(INT((ROW(D196)-10)/30)+1=5,"Scanner.cal","")&amp;
IF(INT((ROW(D196)-10)/30)+1=6,"Scanner.cal","")&amp;
IF(INT((ROW(D196)-10)/30)+1=7,"Scanner.cal","")&amp;
IF(INT((ROW(D196)-10)/30)+1=8,IF(SCANOPY_Camera, "Indiv", "Gen")&amp; " Lens.cal","")</f>
        <v>☐ Scanner.cal</v>
      </c>
      <c r="O196" s="395" t="str">
        <f>IF(AND(ROW(L196)&gt;=9,ROW(L196)&lt;=38),"☐ RegentTarget.blu","")</f>
        <v/>
      </c>
      <c r="P196" s="302"/>
      <c r="Q196" s="302"/>
    </row>
    <row r="197" spans="1:17" ht="24" customHeight="1" x14ac:dyDescent="0.2">
      <c r="A197" s="567" t="s">
        <v>269</v>
      </c>
      <c r="B197" s="311" t="s">
        <v>269</v>
      </c>
      <c r="C197" s="395" t="s">
        <v>159</v>
      </c>
      <c r="D197" s="395" t="str">
        <f xml:space="preserve"> IF(N("If it is Cam, Do not Show XL")+AND(ROW(D197)&gt;=189,ROW(D197)&lt;=218),"","☐ XL Man")</f>
        <v/>
      </c>
      <c r="E197" s="570" t="str">
        <f>IF(N("Si OR dessous = vrai, pas de box")+OR(
N("1 OR Tron ou CELL")+OR(AND(ROW(K196)&gt;=39,ROW(K196)&lt;=68),AND(ROW(K196)&gt;=99,ROW(K196)&lt;=128)),
N("2 Pas de système scanopy and range opy")+AND(ROW(K196)&gt;=219,ROW(K196)&lt;=248,SCANOPY_N_System&lt;2),
N("3 Avec LC")&amp;IF(ISERROR(LEFT(J195,SEARCH("00",J195)-3)),"",LEFT(J195,SEARCH("00",J195)-3))="LC"),"","☐ ")
&amp;
IF(N("If it's OPY, put OMount Manual instead")+
AND(ROW(J196)&gt;=219,ROW(J196)&lt;=248),
IF(SCANOPY_N_System&gt;1,"OMount Man",""),
IF(N("If it is Cell or Tron, Do not Show Scanner related items")+OR(
AND(ROW(K196)&gt;=39,ROW(K196)&lt;=68),
AND(ROW(K196)&gt;=99,ROW(K196)&lt;=128)),
    "", IF(1=N("Si système a un scanner différent du Scanner populaire alors différent, sinon Scanner populaire")+AND(NOT(ISERROR(SEARCH("System",J195))),LEFT(J195,2)&lt;&gt;LEFT(PROD_MostPopularScanner,2)),
LEFT(J195,SEARCH("00",J195)-3),
PROD_MostPopularScanner) &amp; " Install Man"))</f>
        <v>☐ Scan. Install Man</v>
      </c>
      <c r="F197" s="509" t="s">
        <v>285</v>
      </c>
      <c r="G197" s="395" t="s">
        <v>284</v>
      </c>
      <c r="H197" s="572" t="s">
        <v>260</v>
      </c>
      <c r="I197" s="510"/>
      <c r="J197" s="395" t="s">
        <v>160</v>
      </c>
      <c r="K197" s="353"/>
      <c r="L197" s="572" t="s">
        <v>734</v>
      </c>
      <c r="M197" s="395"/>
      <c r="N197" s="509"/>
      <c r="O197" s="395"/>
      <c r="P197" s="302"/>
      <c r="Q197" s="302"/>
    </row>
    <row r="198" spans="1:17" ht="16.25" customHeight="1" x14ac:dyDescent="0.2">
      <c r="A198" s="554"/>
      <c r="B198" s="384"/>
      <c r="C198" s="836" t="str">
        <f>IF((CAM_N_UpgradeUpdate + CAM_N_Software ) = 2,"",LEFT(INDEX(CAM_SoftwareFullNames,CAM_IndexSoftware),FIND(" ",INDEX(CAM_SoftwareFullNames,CAM_IndexSoftware),FIND(" ",INDEX(CAM_SoftwareFullNames,CAM_IndexSoftware))+6)) &amp;
CAM_YearMostRecent )</f>
        <v/>
      </c>
      <c r="D198" s="836"/>
      <c r="E198" s="392"/>
      <c r="F198" s="392"/>
      <c r="G198" s="363"/>
      <c r="H198" s="349"/>
      <c r="I198" s="349"/>
      <c r="J198" s="363" t="str">
        <f>IF(CAM_N_System-1&gt;=((ROW(G198)-ROW($G$189))/4+1),IF(CAM_IndexScanner=1,"STD4800",IF(CAM_IndexScanner=2,"LA2400","LC4800P")) &amp; " System"&amp; IF(AND(CAM_ClientWithOrWithoutScanner=2,CAM_N_System&gt;1)," Sans Scanner"," Avec Scanner"),
IF(AND(CAM_N_Software&gt;CAM_N_System,CAM_N_Software-1&gt;((ROW(G198)-ROW($G$189))/4+1)),IF(N_SystemTotal=0,"Software Only",IF(N_STDScanners+N_LAScanners+N_LCScanners=0,"Software Sans Scanner","Software Avec Scanner")),
IF(CAM_N_UpgradeUpdate-1&gt;=((ROW(G198)-ROW($G$189))/4+1)-(MAX(CAM_N_System,CAM_N_Software)-1),"Update","")))</f>
        <v/>
      </c>
      <c r="K198" s="349"/>
      <c r="L198" s="348"/>
      <c r="M198" s="348"/>
      <c r="N198" s="348"/>
      <c r="O198" s="302"/>
      <c r="P198" s="302"/>
      <c r="Q198" s="302"/>
    </row>
    <row r="199" spans="1:17" ht="24" customHeight="1" x14ac:dyDescent="0.2">
      <c r="A199" s="567" t="s">
        <v>268</v>
      </c>
      <c r="B199" s="375" t="s">
        <v>268</v>
      </c>
      <c r="C199" s="507" t="str">
        <f>"☐☐ Win" &amp;
IF(INT((ROW(D199)-10)/30)+1=1,"DEN","")&amp;
IF(INT((ROW(D199)-10)/30)+1=2,"CEL","")&amp;
IF(INT((ROW(D199)-10)/30)+1=3,"RHI","")&amp;
IF(INT((ROW(D199)-10)/30)+1=4,"RT","")&amp;
IF(INT((ROW(D199)-10)/30)+1=5,"FOL","")&amp;
IF(INT((ROW(D199)-10)/30)+1=6,"SEE","")&amp;
IF(INT((ROW(D199)-10)/30)+1=7,"CAM","")&amp;
IF(INT((ROW(D199)-10)/30)+1=8,"SCA","") &amp; ".exe"</f>
        <v>☐☐ WinCAM.exe</v>
      </c>
      <c r="D199" s="507" t="str">
        <f xml:space="preserve"> IF(N("If it is Cam, Do not Show XL")+AND(ROW(D199)&gt;=189,ROW(D199)&lt;=218),"","☐ XL" &amp;
IF(INT((ROW(D199)-10)/30)+1=1,"STEM","")&amp;
IF(INT((ROW(D199)-10)/30)+1=2,"Cell","")&amp;
IF(INT((ROW(D199)-10)/30)+1=3,"Rhizo","")&amp;
IF(INT((ROW(D199)-10)/30)+1=4,"RhizoT","")&amp;
IF(INT((ROW(D199)-10)/30)+1=5,"Folia","")&amp;
IF(INT((ROW(D199)-10)/30)+1=6,"Seedle","")&amp;
IF(INT((ROW(D199)-10)/30)+1=7,"Cam","")&amp;
IF(INT((ROW(D199)-10)/30)+1=8,"Scanopy","") &amp; ".xls")</f>
        <v/>
      </c>
      <c r="E199" s="507" t="s">
        <v>309</v>
      </c>
      <c r="F199" s="508" t="s">
        <v>159</v>
      </c>
      <c r="G199" s="507" t="str">
        <f xml:space="preserve"> IF(N("If it is Cam, Do not Show XL")+AND(ROW(G199)&gt;=189,ROW(G199)&lt;=218),"","☐ XL Man")</f>
        <v/>
      </c>
      <c r="H199" s="508" t="s">
        <v>290</v>
      </c>
      <c r="I199" s="395" t="s">
        <v>284</v>
      </c>
      <c r="J199" s="508" t="str">
        <f>IF(N("Si OR dessous = vrai, pas de box")+OR(
N("1 OR Tron ou CELL")+OR(AND(ROW(E199)&gt;=39,ROW(E199)&lt;=68),AND(ROW(E199)&gt;=99,ROW(E199)&lt;=128)),
N("2 Pas de système scanopy and range opy")+AND(ROW(E199)&gt;=219,ROW(E199)&lt;=248,SCANOPY_N_System&lt;2),
N("3 Avec LC")&amp;IF(ISERROR(LEFT(D198,SEARCH("00",D198)-3)),"",LEFT(D198,SEARCH("00",D198)-3))="LC"),"","☐ ")
&amp;
IF(N("If it's OPY, put OMount Manual instead")+
AND(ROW(D199)&gt;=219,ROW(D199)&lt;=248),
IF(SCANOPY_N_System&gt;1,
IF(SCANOPY_IndexScanner=1,"α" &amp; SCANOPY_CameraModel,SCANOPY_CameraModel_Mini) &amp; " Man",""),
IF(N("If it is Cell or Tron, Do not Show Scanner related items+No Video if LC")+OR(
AND(ROW(E199)&gt;=39,ROW(E199)&lt;=68),
AND(ROW(E199)&gt;=99,ROW(E199)&lt;=128)),
    "", IF(1=N("Si système a un scanner différent du Scanner populaire alors différent, sinon Scanner populaire")+AND(NOT(ISERROR(SEARCH("System",D198))),LEFT(D198,2)&lt;&gt;LEFT(PROD_MostPopularScanner,2)),
LEFT(D198,SEARCH("00",D198)-3),
PROD_MostPopularScanner) &amp; " Install Man"))</f>
        <v>☐ Scan. Install Man</v>
      </c>
      <c r="K199" s="507" t="str">
        <f>IF(N("If it is Cell or Tron or OPY, Do not Show Twain")+OR(AND(ROW(K199)&gt;=39,ROW(K199)&lt;=68),AND(ROW(K199)&gt;=99,ROW(K199)&lt;=128),AND(ROW(J199)&gt;=219,ROW(J199)&lt;=248)),"","☐ TWAIN")</f>
        <v>☐ TWAIN</v>
      </c>
      <c r="L199" s="508" t="str">
        <f>IF(N("Si OR dessous = vrai, pas de box")+OR(
N("1 OR Dendro+CELL, Tron+Folia,Cam")+OR(
AND(ROW(K199)&gt;=9,ROW(K199)&lt;=68),
AND(ROW(K199)&gt;=99,ROW(K199)&lt;=158),
AND(ROW(K199)&gt;=189,ROW(K199)&lt;=218)),
N("2 Pas de système scanopy and range opy")+AND(ROW(K199)&gt;=219,ROW(K199)&lt;=248,SCANOPY_N_System&lt;2),
N("3 Avec LC")&amp;IF(ISERROR(LEFT(J198,SEARCH("00",J198)-3)),"",LEFT(J198,SEARCH("00",J198)-3))="LC"),"","☐ ")
&amp;
IF(N("If it's OPY, put OMount Manual instead")+
AND(ROW(J199)&gt;=219,ROW(J199)&lt;=248),
IF(SCANOPY_N_System&gt;1,"OMount Man",""),
IF(N("If it is Dendro+CELL, Tron+Folia or Cam, Do not Show Scanner related items+No Video if LC")+OR(
AND(ROW(K199)&gt;=9,ROW(K199)&lt;=68),
AND(ROW(K199)&gt;=99,ROW(K199)&lt;=158),
AND(ROW(K199)&gt;=189,ROW(K199)&lt;=218),
IF(ISERROR(LEFT(J198,SEARCH("00",J198)-3)),"",LEFT(J198,SEARCH("00",J198)-3))="LC"),
    "", "Video " &amp; IF(1=N("Si système a un scanner différent du Scanner populaire alors différent, sinon Scanner populaire")+AND(NOT(ISERROR(SEARCH("System",J198))),LEFT(J198,2)&lt;&gt;LEFT(PROD_MostPopularScanner,2)),
LEFT(J198,SEARCH("00",J198)-3),
PROD_MostPopularScanner) &amp; " Install"))</f>
        <v/>
      </c>
      <c r="M199" s="507" t="str">
        <f>IF(N("If it is Dendro or Tron, Do not Show Color Analysis Video")+
OR(AND(ROW(L199)&gt;=9,ROW(L199)&lt;=38),
AND(ROW(L199)&gt;=99,ROW(L199)&lt;=128)), "","☐ Video ClrAna")</f>
        <v>☐ Video ClrAna</v>
      </c>
      <c r="N199" s="508" t="str">
        <f>IF(OR(INT((ROW(D199)-10)/30)+1=2,INT((ROW(D199)-10)/30)+1=4),"","☐ ")&amp;
IF(INT((ROW(D199)-10)/30)+1=1,"Scanner.cal","")&amp;
IF(INT((ROW(D199)-10)/30)+1=2,"","")&amp;
IF(INT((ROW(D199)-10)/30)+1=3,"Scanner.cal","")&amp;
IF(INT((ROW(D199)-10)/30)+1=4,"","")&amp;
IF(INT((ROW(D199)-10)/30)+1=5,"Scanner.cal","")&amp;
IF(INT((ROW(D199)-10)/30)+1=6,"Scanner.cal","")&amp;
IF(INT((ROW(D199)-10)/30)+1=7,"Scanner.cal","")&amp;
IF(INT((ROW(D199)-10)/30)+1=8,IF(SCANOPY_Camera, "Indiv", "Gen")&amp; " Lens.cal","")</f>
        <v>☐ Scanner.cal</v>
      </c>
      <c r="O199" s="395" t="str">
        <f>IF(AND(ROW(L199)&gt;=9,ROW(L199)&lt;=38),"☐ RegentTarget.blu","")</f>
        <v/>
      </c>
      <c r="P199" s="302"/>
      <c r="Q199" s="302"/>
    </row>
    <row r="200" spans="1:17" ht="24" customHeight="1" x14ac:dyDescent="0.2">
      <c r="A200" s="567" t="s">
        <v>269</v>
      </c>
      <c r="B200" s="311" t="s">
        <v>269</v>
      </c>
      <c r="C200" s="395" t="s">
        <v>159</v>
      </c>
      <c r="D200" s="395" t="str">
        <f xml:space="preserve"> IF(N("If it is Cam, Do not Show XL")+AND(ROW(D200)&gt;=189,ROW(D200)&lt;=218),"","☐ XL Man")</f>
        <v/>
      </c>
      <c r="E200" s="570" t="str">
        <f>IF(N("Si OR dessous = vrai, pas de box")+OR(
N("1 OR Tron ou CELL")+OR(AND(ROW(K199)&gt;=39,ROW(K199)&lt;=68),AND(ROW(K199)&gt;=99,ROW(K199)&lt;=128)),
N("2 Pas de système scanopy and range opy")+AND(ROW(K199)&gt;=219,ROW(K199)&lt;=248,SCANOPY_N_System&lt;2),
N("3 Avec LC")&amp;IF(ISERROR(LEFT(J198,SEARCH("00",J198)-3)),"",LEFT(J198,SEARCH("00",J198)-3))="LC"),"","☐ ")
&amp;
IF(N("If it's OPY, put OMount Manual instead")+
AND(ROW(J199)&gt;=219,ROW(J199)&lt;=248),
IF(SCANOPY_N_System&gt;1,"OMount Man",""),
IF(N("If it is Cell or Tron, Do not Show Scanner related items")+OR(
AND(ROW(K199)&gt;=39,ROW(K199)&lt;=68),
AND(ROW(K199)&gt;=99,ROW(K199)&lt;=128)),
    "", IF(1=N("Si système a un scanner différent du Scanner populaire alors différent, sinon Scanner populaire")+AND(NOT(ISERROR(SEARCH("System",J198))),LEFT(J198,2)&lt;&gt;LEFT(PROD_MostPopularScanner,2)),
LEFT(J198,SEARCH("00",J198)-3),
PROD_MostPopularScanner) &amp; " Install Man"))</f>
        <v>☐ Scan. Install Man</v>
      </c>
      <c r="F200" s="509" t="s">
        <v>285</v>
      </c>
      <c r="G200" s="395" t="s">
        <v>284</v>
      </c>
      <c r="H200" s="572" t="s">
        <v>260</v>
      </c>
      <c r="I200" s="510"/>
      <c r="J200" s="395" t="s">
        <v>160</v>
      </c>
      <c r="K200" s="353"/>
      <c r="L200" s="572" t="s">
        <v>734</v>
      </c>
      <c r="M200" s="395"/>
      <c r="N200" s="509"/>
      <c r="O200" s="395"/>
      <c r="P200" s="302"/>
      <c r="Q200" s="302"/>
    </row>
    <row r="201" spans="1:17" ht="16.25" customHeight="1" x14ac:dyDescent="0.2">
      <c r="A201" s="554"/>
      <c r="B201" s="384"/>
      <c r="C201" s="836" t="str">
        <f>IF((CAM_N_UpgradeUpdate + CAM_N_Software ) = 2,"",LEFT(INDEX(CAM_SoftwareFullNames,CAM_IndexSoftware),FIND(" ",INDEX(CAM_SoftwareFullNames,CAM_IndexSoftware),FIND(" ",INDEX(CAM_SoftwareFullNames,CAM_IndexSoftware))+6)) &amp;
CAM_YearMostRecent )</f>
        <v/>
      </c>
      <c r="D201" s="836"/>
      <c r="E201" s="392"/>
      <c r="F201" s="392"/>
      <c r="G201" s="363"/>
      <c r="H201" s="349"/>
      <c r="I201" s="349"/>
      <c r="J201" s="363" t="str">
        <f>IF(CAM_N_System-1&gt;=((ROW(G201)-ROW($G$189))/4+1),IF(CAM_IndexScanner=1,"STD4800",IF(CAM_IndexScanner=2,"LA2400","LC4800P")) &amp; " System"&amp; IF(AND(CAM_ClientWithOrWithoutScanner=2,CAM_N_System&gt;1)," Sans Scanner"," Avec Scanner"),
IF(AND(CAM_N_Software&gt;CAM_N_System,CAM_N_Software-1&gt;((ROW(G201)-ROW($G$189))/4+1)),IF(N_SystemTotal=0,"Software Only",IF(N_STDScanners+N_LAScanners+N_LCScanners=0,"Software Sans Scanner","Software Avec Scanner")),
IF(CAM_N_UpgradeUpdate-1&gt;=((ROW(G201)-ROW($G$189))/4+1)-(MAX(CAM_N_System,CAM_N_Software)-1),"Update","")))</f>
        <v/>
      </c>
      <c r="K201" s="349"/>
      <c r="L201" s="348"/>
      <c r="M201" s="348"/>
      <c r="N201" s="348"/>
      <c r="O201" s="302"/>
      <c r="P201" s="302"/>
      <c r="Q201" s="302"/>
    </row>
    <row r="202" spans="1:17" ht="24" customHeight="1" x14ac:dyDescent="0.2">
      <c r="A202" s="567" t="s">
        <v>268</v>
      </c>
      <c r="B202" s="375" t="s">
        <v>268</v>
      </c>
      <c r="C202" s="507" t="str">
        <f>"☐☐ Win" &amp;
IF(INT((ROW(D202)-10)/30)+1=1,"DEN","")&amp;
IF(INT((ROW(D202)-10)/30)+1=2,"CEL","")&amp;
IF(INT((ROW(D202)-10)/30)+1=3,"RHI","")&amp;
IF(INT((ROW(D202)-10)/30)+1=4,"RT","")&amp;
IF(INT((ROW(D202)-10)/30)+1=5,"FOL","")&amp;
IF(INT((ROW(D202)-10)/30)+1=6,"SEE","")&amp;
IF(INT((ROW(D202)-10)/30)+1=7,"CAM","")&amp;
IF(INT((ROW(D202)-10)/30)+1=8,"SCA","") &amp; ".exe"</f>
        <v>☐☐ WinCAM.exe</v>
      </c>
      <c r="D202" s="507" t="str">
        <f xml:space="preserve"> IF(N("If it is Cam, Do not Show XL")+AND(ROW(D202)&gt;=189,ROW(D202)&lt;=218),"","☐ XL" &amp;
IF(INT((ROW(D202)-10)/30)+1=1,"STEM","")&amp;
IF(INT((ROW(D202)-10)/30)+1=2,"Cell","")&amp;
IF(INT((ROW(D202)-10)/30)+1=3,"Rhizo","")&amp;
IF(INT((ROW(D202)-10)/30)+1=4,"RhizoT","")&amp;
IF(INT((ROW(D202)-10)/30)+1=5,"Folia","")&amp;
IF(INT((ROW(D202)-10)/30)+1=6,"Seedle","")&amp;
IF(INT((ROW(D202)-10)/30)+1=7,"Cam","")&amp;
IF(INT((ROW(D202)-10)/30)+1=8,"Scanopy","") &amp; ".xls")</f>
        <v/>
      </c>
      <c r="E202" s="507" t="s">
        <v>309</v>
      </c>
      <c r="F202" s="508" t="s">
        <v>159</v>
      </c>
      <c r="G202" s="507" t="str">
        <f xml:space="preserve"> IF(N("If it is Cam, Do not Show XL")+AND(ROW(G202)&gt;=189,ROW(G202)&lt;=218),"","☐ XL Man")</f>
        <v/>
      </c>
      <c r="H202" s="508" t="s">
        <v>290</v>
      </c>
      <c r="I202" s="395" t="s">
        <v>284</v>
      </c>
      <c r="J202" s="508" t="str">
        <f>IF(N("Si OR dessous = vrai, pas de box")+OR(
N("1 OR Tron ou CELL")+OR(AND(ROW(E202)&gt;=39,ROW(E202)&lt;=68),AND(ROW(E202)&gt;=99,ROW(E202)&lt;=128)),
N("2 Pas de système scanopy and range opy")+AND(ROW(E202)&gt;=219,ROW(E202)&lt;=248,SCANOPY_N_System&lt;2),
N("3 Avec LC")&amp;IF(ISERROR(LEFT(D201,SEARCH("00",D201)-3)),"",LEFT(D201,SEARCH("00",D201)-3))="LC"),"","☐ ")
&amp;
IF(N("If it's OPY, put OMount Manual instead")+
AND(ROW(D202)&gt;=219,ROW(D202)&lt;=248),
IF(SCANOPY_N_System&gt;1,
IF(SCANOPY_IndexScanner=1,"α" &amp; SCANOPY_CameraModel,SCANOPY_CameraModel_Mini) &amp; " Man",""),
IF(N("If it is Cell or Tron, Do not Show Scanner related items+No Video if LC")+OR(
AND(ROW(E202)&gt;=39,ROW(E202)&lt;=68),
AND(ROW(E202)&gt;=99,ROW(E202)&lt;=128)),
    "", IF(1=N("Si système a un scanner différent du Scanner populaire alors différent, sinon Scanner populaire")+AND(NOT(ISERROR(SEARCH("System",D201))),LEFT(D201,2)&lt;&gt;LEFT(PROD_MostPopularScanner,2)),
LEFT(D201,SEARCH("00",D201)-3),
PROD_MostPopularScanner) &amp; " Install Man"))</f>
        <v>☐ Scan. Install Man</v>
      </c>
      <c r="K202" s="507" t="str">
        <f>IF(N("If it is Cell or Tron or OPY, Do not Show Twain")+OR(AND(ROW(K202)&gt;=39,ROW(K202)&lt;=68),AND(ROW(K202)&gt;=99,ROW(K202)&lt;=128),AND(ROW(J202)&gt;=219,ROW(J202)&lt;=248)),"","☐ TWAIN")</f>
        <v>☐ TWAIN</v>
      </c>
      <c r="L202" s="508" t="str">
        <f>IF(N("Si OR dessous = vrai, pas de box")+OR(
N("1 OR Dendro+CELL, Tron+Folia,Cam")+OR(
AND(ROW(K202)&gt;=9,ROW(K202)&lt;=68),
AND(ROW(K202)&gt;=99,ROW(K202)&lt;=158),
AND(ROW(K202)&gt;=189,ROW(K202)&lt;=218)),
N("2 Pas de système scanopy and range opy")+AND(ROW(K202)&gt;=219,ROW(K202)&lt;=248,SCANOPY_N_System&lt;2),
N("3 Avec LC")&amp;IF(ISERROR(LEFT(J201,SEARCH("00",J201)-3)),"",LEFT(J201,SEARCH("00",J201)-3))="LC"),"","☐ ")
&amp;
IF(N("If it's OPY, put OMount Manual instead")+
AND(ROW(J202)&gt;=219,ROW(J202)&lt;=248),
IF(SCANOPY_N_System&gt;1,"OMount Man",""),
IF(N("If it is Dendro+CELL, Tron+Folia or Cam, Do not Show Scanner related items+No Video if LC")+OR(
AND(ROW(K202)&gt;=9,ROW(K202)&lt;=68),
AND(ROW(K202)&gt;=99,ROW(K202)&lt;=158),
AND(ROW(K202)&gt;=189,ROW(K202)&lt;=218),
IF(ISERROR(LEFT(J201,SEARCH("00",J201)-3)),"",LEFT(J201,SEARCH("00",J201)-3))="LC"),
    "", "Video " &amp; IF(1=N("Si système a un scanner différent du Scanner populaire alors différent, sinon Scanner populaire")+AND(NOT(ISERROR(SEARCH("System",J201))),LEFT(J201,2)&lt;&gt;LEFT(PROD_MostPopularScanner,2)),
LEFT(J201,SEARCH("00",J201)-3),
PROD_MostPopularScanner) &amp; " Install"))</f>
        <v/>
      </c>
      <c r="M202" s="507" t="str">
        <f>IF(N("If it is Dendro or Tron, Do not Show Color Analysis Video")+
OR(AND(ROW(L202)&gt;=9,ROW(L202)&lt;=38),
AND(ROW(L202)&gt;=99,ROW(L202)&lt;=128)), "","☐ Video ClrAna")</f>
        <v>☐ Video ClrAna</v>
      </c>
      <c r="N202" s="508" t="str">
        <f>IF(OR(INT((ROW(D202)-10)/30)+1=2,INT((ROW(D202)-10)/30)+1=4),"","☐ ")&amp;
IF(INT((ROW(D202)-10)/30)+1=1,"Scanner.cal","")&amp;
IF(INT((ROW(D202)-10)/30)+1=2,"","")&amp;
IF(INT((ROW(D202)-10)/30)+1=3,"Scanner.cal","")&amp;
IF(INT((ROW(D202)-10)/30)+1=4,"","")&amp;
IF(INT((ROW(D202)-10)/30)+1=5,"Scanner.cal","")&amp;
IF(INT((ROW(D202)-10)/30)+1=6,"Scanner.cal","")&amp;
IF(INT((ROW(D202)-10)/30)+1=7,"Scanner.cal","")&amp;
IF(INT((ROW(D202)-10)/30)+1=8,IF(SCANOPY_Camera, "Indiv", "Gen")&amp; " Lens.cal","")</f>
        <v>☐ Scanner.cal</v>
      </c>
      <c r="O202" s="395" t="str">
        <f>IF(AND(ROW(L202)&gt;=9,ROW(L202)&lt;=38),"☐ RegentTarget.blu","")</f>
        <v/>
      </c>
      <c r="P202" s="302"/>
      <c r="Q202" s="302"/>
    </row>
    <row r="203" spans="1:17" ht="24" customHeight="1" x14ac:dyDescent="0.2">
      <c r="A203" s="567" t="s">
        <v>269</v>
      </c>
      <c r="B203" s="311" t="s">
        <v>269</v>
      </c>
      <c r="C203" s="395" t="s">
        <v>159</v>
      </c>
      <c r="D203" s="395" t="str">
        <f xml:space="preserve"> IF(N("If it is Cam, Do not Show XL")+AND(ROW(D203)&gt;=189,ROW(D203)&lt;=218),"","☐ XL Man")</f>
        <v/>
      </c>
      <c r="E203" s="570" t="str">
        <f>IF(N("Si OR dessous = vrai, pas de box")+OR(
N("1 OR Tron ou CELL")+OR(AND(ROW(K202)&gt;=39,ROW(K202)&lt;=68),AND(ROW(K202)&gt;=99,ROW(K202)&lt;=128)),
N("2 Pas de système scanopy and range opy")+AND(ROW(K202)&gt;=219,ROW(K202)&lt;=248,SCANOPY_N_System&lt;2),
N("3 Avec LC")&amp;IF(ISERROR(LEFT(J201,SEARCH("00",J201)-3)),"",LEFT(J201,SEARCH("00",J201)-3))="LC"),"","☐ ")
&amp;
IF(N("If it's OPY, put OMount Manual instead")+
AND(ROW(J202)&gt;=219,ROW(J202)&lt;=248),
IF(SCANOPY_N_System&gt;1,"OMount Man",""),
IF(N("If it is Cell or Tron, Do not Show Scanner related items")+OR(
AND(ROW(K202)&gt;=39,ROW(K202)&lt;=68),
AND(ROW(K202)&gt;=99,ROW(K202)&lt;=128)),
    "", IF(1=N("Si système a un scanner différent du Scanner populaire alors différent, sinon Scanner populaire")+AND(NOT(ISERROR(SEARCH("System",J201))),LEFT(J201,2)&lt;&gt;LEFT(PROD_MostPopularScanner,2)),
LEFT(J201,SEARCH("00",J201)-3),
PROD_MostPopularScanner) &amp; " Install Man"))</f>
        <v>☐ Scan. Install Man</v>
      </c>
      <c r="F203" s="509" t="s">
        <v>285</v>
      </c>
      <c r="G203" s="395" t="s">
        <v>284</v>
      </c>
      <c r="H203" s="572" t="s">
        <v>260</v>
      </c>
      <c r="I203" s="510"/>
      <c r="J203" s="395" t="s">
        <v>160</v>
      </c>
      <c r="K203" s="353"/>
      <c r="L203" s="572" t="s">
        <v>734</v>
      </c>
      <c r="M203" s="395"/>
      <c r="N203" s="509"/>
      <c r="O203" s="395"/>
      <c r="P203" s="302"/>
      <c r="Q203" s="302"/>
    </row>
    <row r="204" spans="1:17" ht="16.25" customHeight="1" x14ac:dyDescent="0.2">
      <c r="A204" s="554"/>
      <c r="B204" s="384"/>
      <c r="C204" s="836" t="str">
        <f>IF((CAM_N_UpgradeUpdate + CAM_N_Software ) = 2,"",LEFT(INDEX(CAM_SoftwareFullNames,CAM_IndexSoftware),FIND(" ",INDEX(CAM_SoftwareFullNames,CAM_IndexSoftware),FIND(" ",INDEX(CAM_SoftwareFullNames,CAM_IndexSoftware))+6)) &amp;
CAM_YearMostRecent )</f>
        <v/>
      </c>
      <c r="D204" s="836"/>
      <c r="E204" s="392"/>
      <c r="F204" s="392"/>
      <c r="G204" s="363"/>
      <c r="H204" s="349"/>
      <c r="I204" s="349"/>
      <c r="J204" s="363" t="str">
        <f>IF(CAM_N_System-1&gt;=((ROW(G204)-ROW($G$189))/4+1),IF(CAM_IndexScanner=1,"STD4800",IF(CAM_IndexScanner=2,"LA2400","LC4800P")) &amp; " System"&amp; IF(AND(CAM_ClientWithOrWithoutScanner=2,CAM_N_System&gt;1)," Sans Scanner"," Avec Scanner"),
IF(AND(CAM_N_Software&gt;CAM_N_System,CAM_N_Software-1&gt;((ROW(G204)-ROW($G$189))/4+1)),IF(N_SystemTotal=0,"Software Only",IF(N_STDScanners+N_LAScanners+N_LCScanners=0,"Software Sans Scanner","Software Avec Scanner")),
IF(CAM_N_UpgradeUpdate-1&gt;=((ROW(G204)-ROW($G$189))/4+1)-(MAX(CAM_N_System,CAM_N_Software)-1),"Update","")))</f>
        <v/>
      </c>
      <c r="K204" s="349"/>
      <c r="L204" s="348"/>
      <c r="M204" s="348"/>
      <c r="N204" s="348"/>
      <c r="O204" s="302"/>
      <c r="P204" s="302"/>
      <c r="Q204" s="302"/>
    </row>
    <row r="205" spans="1:17" ht="24" customHeight="1" x14ac:dyDescent="0.2">
      <c r="A205" s="567" t="s">
        <v>268</v>
      </c>
      <c r="B205" s="375" t="s">
        <v>268</v>
      </c>
      <c r="C205" s="507" t="str">
        <f>"☐☐ Win" &amp;
IF(INT((ROW(D205)-10)/30)+1=1,"DEN","")&amp;
IF(INT((ROW(D205)-10)/30)+1=2,"CEL","")&amp;
IF(INT((ROW(D205)-10)/30)+1=3,"RHI","")&amp;
IF(INT((ROW(D205)-10)/30)+1=4,"RT","")&amp;
IF(INT((ROW(D205)-10)/30)+1=5,"FOL","")&amp;
IF(INT((ROW(D205)-10)/30)+1=6,"SEE","")&amp;
IF(INT((ROW(D205)-10)/30)+1=7,"CAM","")&amp;
IF(INT((ROW(D205)-10)/30)+1=8,"SCA","") &amp; ".exe"</f>
        <v>☐☐ WinCAM.exe</v>
      </c>
      <c r="D205" s="507" t="str">
        <f xml:space="preserve"> IF(N("If it is Cam, Do not Show XL")+AND(ROW(D205)&gt;=189,ROW(D205)&lt;=218),"","☐ XL" &amp;
IF(INT((ROW(D205)-10)/30)+1=1,"STEM","")&amp;
IF(INT((ROW(D205)-10)/30)+1=2,"Cell","")&amp;
IF(INT((ROW(D205)-10)/30)+1=3,"Rhizo","")&amp;
IF(INT((ROW(D205)-10)/30)+1=4,"RhizoT","")&amp;
IF(INT((ROW(D205)-10)/30)+1=5,"Folia","")&amp;
IF(INT((ROW(D205)-10)/30)+1=6,"Seedle","")&amp;
IF(INT((ROW(D205)-10)/30)+1=7,"Cam","")&amp;
IF(INT((ROW(D205)-10)/30)+1=8,"Scanopy","") &amp; ".xls")</f>
        <v/>
      </c>
      <c r="E205" s="507" t="s">
        <v>309</v>
      </c>
      <c r="F205" s="508" t="s">
        <v>159</v>
      </c>
      <c r="G205" s="507" t="str">
        <f xml:space="preserve"> IF(N("If it is Cam, Do not Show XL")+AND(ROW(G205)&gt;=189,ROW(G205)&lt;=218),"","☐ XL Man")</f>
        <v/>
      </c>
      <c r="H205" s="508" t="s">
        <v>290</v>
      </c>
      <c r="I205" s="395" t="s">
        <v>284</v>
      </c>
      <c r="J205" s="508" t="str">
        <f>IF(N("Si OR dessous = vrai, pas de box")+OR(
N("1 OR Tron ou CELL")+OR(AND(ROW(E205)&gt;=39,ROW(E205)&lt;=68),AND(ROW(E205)&gt;=99,ROW(E205)&lt;=128)),
N("2 Pas de système scanopy and range opy")+AND(ROW(E205)&gt;=219,ROW(E205)&lt;=248,SCANOPY_N_System&lt;2),
N("3 Avec LC")&amp;IF(ISERROR(LEFT(D204,SEARCH("00",D204)-3)),"",LEFT(D204,SEARCH("00",D204)-3))="LC"),"","☐ ")
&amp;
IF(N("If it's OPY, put OMount Manual instead")+
AND(ROW(D205)&gt;=219,ROW(D205)&lt;=248),
IF(SCANOPY_N_System&gt;1,
IF(SCANOPY_IndexScanner=1,"α" &amp; SCANOPY_CameraModel,SCANOPY_CameraModel_Mini) &amp; " Man",""),
IF(N("If it is Cell or Tron, Do not Show Scanner related items+No Video if LC")+OR(
AND(ROW(E205)&gt;=39,ROW(E205)&lt;=68),
AND(ROW(E205)&gt;=99,ROW(E205)&lt;=128)),
    "", IF(1=N("Si système a un scanner différent du Scanner populaire alors différent, sinon Scanner populaire")+AND(NOT(ISERROR(SEARCH("System",D204))),LEFT(D204,2)&lt;&gt;LEFT(PROD_MostPopularScanner,2)),
LEFT(D204,SEARCH("00",D204)-3),
PROD_MostPopularScanner) &amp; " Install Man"))</f>
        <v>☐ Scan. Install Man</v>
      </c>
      <c r="K205" s="507" t="str">
        <f>IF(N("If it is Cell or Tron or OPY, Do not Show Twain")+OR(AND(ROW(K205)&gt;=39,ROW(K205)&lt;=68),AND(ROW(K205)&gt;=99,ROW(K205)&lt;=128),AND(ROW(J205)&gt;=219,ROW(J205)&lt;=248)),"","☐ TWAIN")</f>
        <v>☐ TWAIN</v>
      </c>
      <c r="L205" s="508" t="str">
        <f>IF(N("Si OR dessous = vrai, pas de box")+OR(
N("1 OR Dendro+CELL, Tron+Folia,Cam")+OR(
AND(ROW(K205)&gt;=9,ROW(K205)&lt;=68),
AND(ROW(K205)&gt;=99,ROW(K205)&lt;=158),
AND(ROW(K205)&gt;=189,ROW(K205)&lt;=218)),
N("2 Pas de système scanopy and range opy")+AND(ROW(K205)&gt;=219,ROW(K205)&lt;=248,SCANOPY_N_System&lt;2),
N("3 Avec LC")&amp;IF(ISERROR(LEFT(J204,SEARCH("00",J204)-3)),"",LEFT(J204,SEARCH("00",J204)-3))="LC"),"","☐ ")
&amp;
IF(N("If it's OPY, put OMount Manual instead")+
AND(ROW(J205)&gt;=219,ROW(J205)&lt;=248),
IF(SCANOPY_N_System&gt;1,"OMount Man",""),
IF(N("If it is Dendro+CELL, Tron+Folia or Cam, Do not Show Scanner related items+No Video if LC")+OR(
AND(ROW(K205)&gt;=9,ROW(K205)&lt;=68),
AND(ROW(K205)&gt;=99,ROW(K205)&lt;=158),
AND(ROW(K205)&gt;=189,ROW(K205)&lt;=218),
IF(ISERROR(LEFT(J204,SEARCH("00",J204)-3)),"",LEFT(J204,SEARCH("00",J204)-3))="LC"),
    "", "Video " &amp; IF(1=N("Si système a un scanner différent du Scanner populaire alors différent, sinon Scanner populaire")+AND(NOT(ISERROR(SEARCH("System",J204))),LEFT(J204,2)&lt;&gt;LEFT(PROD_MostPopularScanner,2)),
LEFT(J204,SEARCH("00",J204)-3),
PROD_MostPopularScanner) &amp; " Install"))</f>
        <v/>
      </c>
      <c r="M205" s="507" t="str">
        <f>IF(N("If it is Dendro or Tron, Do not Show Color Analysis Video")+
OR(AND(ROW(L205)&gt;=9,ROW(L205)&lt;=38),
AND(ROW(L205)&gt;=99,ROW(L205)&lt;=128)), "","☐ Video ClrAna")</f>
        <v>☐ Video ClrAna</v>
      </c>
      <c r="N205" s="508" t="str">
        <f>IF(OR(INT((ROW(D205)-10)/30)+1=2,INT((ROW(D205)-10)/30)+1=4),"","☐ ")&amp;
IF(INT((ROW(D205)-10)/30)+1=1,"Scanner.cal","")&amp;
IF(INT((ROW(D205)-10)/30)+1=2,"","")&amp;
IF(INT((ROW(D205)-10)/30)+1=3,"Scanner.cal","")&amp;
IF(INT((ROW(D205)-10)/30)+1=4,"","")&amp;
IF(INT((ROW(D205)-10)/30)+1=5,"Scanner.cal","")&amp;
IF(INT((ROW(D205)-10)/30)+1=6,"Scanner.cal","")&amp;
IF(INT((ROW(D205)-10)/30)+1=7,"Scanner.cal","")&amp;
IF(INT((ROW(D205)-10)/30)+1=8,IF(SCANOPY_Camera, "Indiv", "Gen")&amp; " Lens.cal","")</f>
        <v>☐ Scanner.cal</v>
      </c>
      <c r="O205" s="395" t="str">
        <f>IF(AND(ROW(L205)&gt;=9,ROW(L205)&lt;=38),"☐ RegentTarget.blu","")</f>
        <v/>
      </c>
      <c r="P205" s="302"/>
      <c r="Q205" s="302"/>
    </row>
    <row r="206" spans="1:17" ht="24" customHeight="1" x14ac:dyDescent="0.2">
      <c r="A206" s="567" t="s">
        <v>269</v>
      </c>
      <c r="B206" s="311" t="s">
        <v>269</v>
      </c>
      <c r="C206" s="395" t="s">
        <v>159</v>
      </c>
      <c r="D206" s="395" t="str">
        <f xml:space="preserve"> IF(N("If it is Cam, Do not Show XL")+AND(ROW(D206)&gt;=189,ROW(D206)&lt;=218),"","☐ XL Man")</f>
        <v/>
      </c>
      <c r="E206" s="570" t="str">
        <f>IF(N("Si OR dessous = vrai, pas de box")+OR(
N("1 OR Tron ou CELL")+OR(AND(ROW(K205)&gt;=39,ROW(K205)&lt;=68),AND(ROW(K205)&gt;=99,ROW(K205)&lt;=128)),
N("2 Pas de système scanopy and range opy")+AND(ROW(K205)&gt;=219,ROW(K205)&lt;=248,SCANOPY_N_System&lt;2),
N("3 Avec LC")&amp;IF(ISERROR(LEFT(J204,SEARCH("00",J204)-3)),"",LEFT(J204,SEARCH("00",J204)-3))="LC"),"","☐ ")
&amp;
IF(N("If it's OPY, put OMount Manual instead")+
AND(ROW(J205)&gt;=219,ROW(J205)&lt;=248),
IF(SCANOPY_N_System&gt;1,"OMount Man",""),
IF(N("If it is Cell or Tron, Do not Show Scanner related items")+OR(
AND(ROW(K205)&gt;=39,ROW(K205)&lt;=68),
AND(ROW(K205)&gt;=99,ROW(K205)&lt;=128)),
    "", IF(1=N("Si système a un scanner différent du Scanner populaire alors différent, sinon Scanner populaire")+AND(NOT(ISERROR(SEARCH("System",J204))),LEFT(J204,2)&lt;&gt;LEFT(PROD_MostPopularScanner,2)),
LEFT(J204,SEARCH("00",J204)-3),
PROD_MostPopularScanner) &amp; " Install Man"))</f>
        <v>☐ Scan. Install Man</v>
      </c>
      <c r="F206" s="509" t="s">
        <v>285</v>
      </c>
      <c r="G206" s="395" t="s">
        <v>284</v>
      </c>
      <c r="H206" s="572" t="s">
        <v>260</v>
      </c>
      <c r="I206" s="510"/>
      <c r="J206" s="395" t="s">
        <v>160</v>
      </c>
      <c r="K206" s="353"/>
      <c r="L206" s="572" t="s">
        <v>734</v>
      </c>
      <c r="M206" s="395"/>
      <c r="N206" s="509"/>
      <c r="O206" s="395"/>
      <c r="P206" s="302"/>
      <c r="Q206" s="302"/>
    </row>
    <row r="207" spans="1:17" ht="16.25" customHeight="1" x14ac:dyDescent="0.2">
      <c r="A207" s="554"/>
      <c r="B207" s="384"/>
      <c r="C207" s="836" t="str">
        <f>IF((CAM_N_UpgradeUpdate + CAM_N_Software ) = 2,"",LEFT(INDEX(CAM_SoftwareFullNames,CAM_IndexSoftware),FIND(" ",INDEX(CAM_SoftwareFullNames,CAM_IndexSoftware),FIND(" ",INDEX(CAM_SoftwareFullNames,CAM_IndexSoftware))+6)) &amp;
CAM_YearMostRecent )</f>
        <v/>
      </c>
      <c r="D207" s="836"/>
      <c r="E207" s="392"/>
      <c r="F207" s="392"/>
      <c r="G207" s="363"/>
      <c r="H207" s="349"/>
      <c r="I207" s="349"/>
      <c r="J207" s="363" t="str">
        <f>IF(CAM_N_System-1&gt;=((ROW(G207)-ROW($G$189))/4+1),IF(CAM_IndexScanner=1,"STD4800",IF(CAM_IndexScanner=2,"LA2400","LC4800P")) &amp; " System"&amp; IF(AND(CAM_ClientWithOrWithoutScanner=2,CAM_N_System&gt;1)," Sans Scanner"," Avec Scanner"),
IF(AND(CAM_N_Software&gt;CAM_N_System,CAM_N_Software-1&gt;((ROW(G207)-ROW($G$189))/4+1)),IF(N_SystemTotal=0,"Software Only",IF(N_STDScanners+N_LAScanners+N_LCScanners=0,"Software Sans Scanner","Software Avec Scanner")),
IF(CAM_N_UpgradeUpdate-1&gt;=((ROW(G207)-ROW($G$189))/4+1)-(MAX(CAM_N_System,CAM_N_Software)-1),"Update","")))</f>
        <v/>
      </c>
      <c r="K207" s="349"/>
      <c r="L207" s="348"/>
      <c r="M207" s="348"/>
      <c r="N207" s="348"/>
      <c r="O207" s="302"/>
      <c r="P207" s="302"/>
      <c r="Q207" s="302"/>
    </row>
    <row r="208" spans="1:17" ht="24" customHeight="1" x14ac:dyDescent="0.2">
      <c r="A208" s="567" t="s">
        <v>268</v>
      </c>
      <c r="B208" s="375" t="s">
        <v>268</v>
      </c>
      <c r="C208" s="507" t="str">
        <f>"☐☐ Win" &amp;
IF(INT((ROW(D208)-10)/30)+1=1,"DEN","")&amp;
IF(INT((ROW(D208)-10)/30)+1=2,"CEL","")&amp;
IF(INT((ROW(D208)-10)/30)+1=3,"RHI","")&amp;
IF(INT((ROW(D208)-10)/30)+1=4,"RT","")&amp;
IF(INT((ROW(D208)-10)/30)+1=5,"FOL","")&amp;
IF(INT((ROW(D208)-10)/30)+1=6,"SEE","")&amp;
IF(INT((ROW(D208)-10)/30)+1=7,"CAM","")&amp;
IF(INT((ROW(D208)-10)/30)+1=8,"SCA","") &amp; ".exe"</f>
        <v>☐☐ WinCAM.exe</v>
      </c>
      <c r="D208" s="507" t="str">
        <f xml:space="preserve"> IF(N("If it is Cam, Do not Show XL")+AND(ROW(D208)&gt;=189,ROW(D208)&lt;=218),"","☐ XL" &amp;
IF(INT((ROW(D208)-10)/30)+1=1,"STEM","")&amp;
IF(INT((ROW(D208)-10)/30)+1=2,"Cell","")&amp;
IF(INT((ROW(D208)-10)/30)+1=3,"Rhizo","")&amp;
IF(INT((ROW(D208)-10)/30)+1=4,"RhizoT","")&amp;
IF(INT((ROW(D208)-10)/30)+1=5,"Folia","")&amp;
IF(INT((ROW(D208)-10)/30)+1=6,"Seedle","")&amp;
IF(INT((ROW(D208)-10)/30)+1=7,"Cam","")&amp;
IF(INT((ROW(D208)-10)/30)+1=8,"Scanopy","") &amp; ".xls")</f>
        <v/>
      </c>
      <c r="E208" s="507" t="s">
        <v>309</v>
      </c>
      <c r="F208" s="508" t="s">
        <v>159</v>
      </c>
      <c r="G208" s="507" t="str">
        <f xml:space="preserve"> IF(N("If it is Cam, Do not Show XL")+AND(ROW(G208)&gt;=189,ROW(G208)&lt;=218),"","☐ XL Man")</f>
        <v/>
      </c>
      <c r="H208" s="508" t="s">
        <v>290</v>
      </c>
      <c r="I208" s="395" t="s">
        <v>284</v>
      </c>
      <c r="J208" s="508" t="str">
        <f>IF(N("Si OR dessous = vrai, pas de box")+OR(
N("1 OR Tron ou CELL")+OR(AND(ROW(E208)&gt;=39,ROW(E208)&lt;=68),AND(ROW(E208)&gt;=99,ROW(E208)&lt;=128)),
N("2 Pas de système scanopy and range opy")+AND(ROW(E208)&gt;=219,ROW(E208)&lt;=248,SCANOPY_N_System&lt;2),
N("3 Avec LC")&amp;IF(ISERROR(LEFT(D207,SEARCH("00",D207)-3)),"",LEFT(D207,SEARCH("00",D207)-3))="LC"),"","☐ ")
&amp;
IF(N("If it's OPY, put OMount Manual instead")+
AND(ROW(D208)&gt;=219,ROW(D208)&lt;=248),
IF(SCANOPY_N_System&gt;1,
IF(SCANOPY_IndexScanner=1,"α" &amp; SCANOPY_CameraModel,SCANOPY_CameraModel_Mini) &amp; " Man",""),
IF(N("If it is Cell or Tron, Do not Show Scanner related items+No Video if LC")+OR(
AND(ROW(E208)&gt;=39,ROW(E208)&lt;=68),
AND(ROW(E208)&gt;=99,ROW(E208)&lt;=128)),
    "", IF(1=N("Si système a un scanner différent du Scanner populaire alors différent, sinon Scanner populaire")+AND(NOT(ISERROR(SEARCH("System",D207))),LEFT(D207,2)&lt;&gt;LEFT(PROD_MostPopularScanner,2)),
LEFT(D207,SEARCH("00",D207)-3),
PROD_MostPopularScanner) &amp; " Install Man"))</f>
        <v>☐ Scan. Install Man</v>
      </c>
      <c r="K208" s="507" t="str">
        <f>IF(N("If it is Cell or Tron or OPY, Do not Show Twain")+OR(AND(ROW(K208)&gt;=39,ROW(K208)&lt;=68),AND(ROW(K208)&gt;=99,ROW(K208)&lt;=128),AND(ROW(J208)&gt;=219,ROW(J208)&lt;=248)),"","☐ TWAIN")</f>
        <v>☐ TWAIN</v>
      </c>
      <c r="L208" s="508" t="str">
        <f>IF(N("Si OR dessous = vrai, pas de box")+OR(
N("1 OR Dendro+CELL, Tron+Folia,Cam")+OR(
AND(ROW(K208)&gt;=9,ROW(K208)&lt;=68),
AND(ROW(K208)&gt;=99,ROW(K208)&lt;=158),
AND(ROW(K208)&gt;=189,ROW(K208)&lt;=218)),
N("2 Pas de système scanopy and range opy")+AND(ROW(K208)&gt;=219,ROW(K208)&lt;=248,SCANOPY_N_System&lt;2),
N("3 Avec LC")&amp;IF(ISERROR(LEFT(J207,SEARCH("00",J207)-3)),"",LEFT(J207,SEARCH("00",J207)-3))="LC"),"","☐ ")
&amp;
IF(N("If it's OPY, put OMount Manual instead")+
AND(ROW(J208)&gt;=219,ROW(J208)&lt;=248),
IF(SCANOPY_N_System&gt;1,"OMount Man",""),
IF(N("If it is Dendro+CELL, Tron+Folia or Cam, Do not Show Scanner related items+No Video if LC")+OR(
AND(ROW(K208)&gt;=9,ROW(K208)&lt;=68),
AND(ROW(K208)&gt;=99,ROW(K208)&lt;=158),
AND(ROW(K208)&gt;=189,ROW(K208)&lt;=218),
IF(ISERROR(LEFT(J207,SEARCH("00",J207)-3)),"",LEFT(J207,SEARCH("00",J207)-3))="LC"),
    "", "Video " &amp; IF(1=N("Si système a un scanner différent du Scanner populaire alors différent, sinon Scanner populaire")+AND(NOT(ISERROR(SEARCH("System",J207))),LEFT(J207,2)&lt;&gt;LEFT(PROD_MostPopularScanner,2)),
LEFT(J207,SEARCH("00",J207)-3),
PROD_MostPopularScanner) &amp; " Install"))</f>
        <v/>
      </c>
      <c r="M208" s="507" t="str">
        <f>IF(N("If it is Dendro or Tron, Do not Show Color Analysis Video")+
OR(AND(ROW(L208)&gt;=9,ROW(L208)&lt;=38),
AND(ROW(L208)&gt;=99,ROW(L208)&lt;=128)), "","☐ Video ClrAna")</f>
        <v>☐ Video ClrAna</v>
      </c>
      <c r="N208" s="508" t="str">
        <f>IF(OR(INT((ROW(D208)-10)/30)+1=2,INT((ROW(D208)-10)/30)+1=4),"","☐ ")&amp;
IF(INT((ROW(D208)-10)/30)+1=1,"Scanner.cal","")&amp;
IF(INT((ROW(D208)-10)/30)+1=2,"","")&amp;
IF(INT((ROW(D208)-10)/30)+1=3,"Scanner.cal","")&amp;
IF(INT((ROW(D208)-10)/30)+1=4,"","")&amp;
IF(INT((ROW(D208)-10)/30)+1=5,"Scanner.cal","")&amp;
IF(INT((ROW(D208)-10)/30)+1=6,"Scanner.cal","")&amp;
IF(INT((ROW(D208)-10)/30)+1=7,"Scanner.cal","")&amp;
IF(INT((ROW(D208)-10)/30)+1=8,IF(SCANOPY_Camera, "Indiv", "Gen")&amp; " Lens.cal","")</f>
        <v>☐ Scanner.cal</v>
      </c>
      <c r="O208" s="395" t="str">
        <f>IF(AND(ROW(L208)&gt;=9,ROW(L208)&lt;=38),"☐ RegentTarget.blu","")</f>
        <v/>
      </c>
      <c r="P208" s="302"/>
      <c r="Q208" s="302"/>
    </row>
    <row r="209" spans="1:17" ht="24" customHeight="1" x14ac:dyDescent="0.2">
      <c r="A209" s="567" t="s">
        <v>269</v>
      </c>
      <c r="B209" s="311" t="s">
        <v>269</v>
      </c>
      <c r="C209" s="395" t="s">
        <v>159</v>
      </c>
      <c r="D209" s="395" t="str">
        <f xml:space="preserve"> IF(N("If it is Cam, Do not Show XL")+AND(ROW(D209)&gt;=189,ROW(D209)&lt;=218),"","☐ XL Man")</f>
        <v/>
      </c>
      <c r="E209" s="570" t="str">
        <f>IF(N("Si OR dessous = vrai, pas de box")+OR(
N("1 OR Tron ou CELL")+OR(AND(ROW(K208)&gt;=39,ROW(K208)&lt;=68),AND(ROW(K208)&gt;=99,ROW(K208)&lt;=128)),
N("2 Pas de système scanopy and range opy")+AND(ROW(K208)&gt;=219,ROW(K208)&lt;=248,SCANOPY_N_System&lt;2),
N("3 Avec LC")&amp;IF(ISERROR(LEFT(J207,SEARCH("00",J207)-3)),"",LEFT(J207,SEARCH("00",J207)-3))="LC"),"","☐ ")
&amp;
IF(N("If it's OPY, put OMount Manual instead")+
AND(ROW(J208)&gt;=219,ROW(J208)&lt;=248),
IF(SCANOPY_N_System&gt;1,"OMount Man",""),
IF(N("If it is Cell or Tron, Do not Show Scanner related items")+OR(
AND(ROW(K208)&gt;=39,ROW(K208)&lt;=68),
AND(ROW(K208)&gt;=99,ROW(K208)&lt;=128)),
    "", IF(1=N("Si système a un scanner différent du Scanner populaire alors différent, sinon Scanner populaire")+AND(NOT(ISERROR(SEARCH("System",J207))),LEFT(J207,2)&lt;&gt;LEFT(PROD_MostPopularScanner,2)),
LEFT(J207,SEARCH("00",J207)-3),
PROD_MostPopularScanner) &amp; " Install Man"))</f>
        <v>☐ Scan. Install Man</v>
      </c>
      <c r="F209" s="509" t="s">
        <v>285</v>
      </c>
      <c r="G209" s="395" t="s">
        <v>284</v>
      </c>
      <c r="H209" s="572" t="s">
        <v>260</v>
      </c>
      <c r="I209" s="510"/>
      <c r="J209" s="395" t="s">
        <v>160</v>
      </c>
      <c r="K209" s="353"/>
      <c r="L209" s="572" t="s">
        <v>734</v>
      </c>
      <c r="M209" s="395"/>
      <c r="N209" s="509"/>
      <c r="O209" s="395"/>
      <c r="P209" s="302"/>
      <c r="Q209" s="302"/>
    </row>
    <row r="210" spans="1:17" ht="16.25" customHeight="1" x14ac:dyDescent="0.2">
      <c r="A210" s="554"/>
      <c r="B210" s="384"/>
      <c r="C210" s="836" t="str">
        <f>IF((CAM_N_UpgradeUpdate + CAM_N_Software ) = 2,"",LEFT(INDEX(CAM_SoftwareFullNames,CAM_IndexSoftware),FIND(" ",INDEX(CAM_SoftwareFullNames,CAM_IndexSoftware),FIND(" ",INDEX(CAM_SoftwareFullNames,CAM_IndexSoftware))+6)) &amp;
CAM_YearMostRecent )</f>
        <v/>
      </c>
      <c r="D210" s="836"/>
      <c r="E210" s="392"/>
      <c r="F210" s="392"/>
      <c r="G210" s="363"/>
      <c r="H210" s="349"/>
      <c r="I210" s="349"/>
      <c r="J210" s="363" t="str">
        <f>IF(CAM_N_System-1&gt;=((ROW(G210)-ROW($G$189))/4+1),IF(CAM_IndexScanner=1,"STD4800",IF(CAM_IndexScanner=2,"LA2400","LC4800P")) &amp; " System"&amp; IF(AND(CAM_ClientWithOrWithoutScanner=2,CAM_N_System&gt;1)," Sans Scanner"," Avec Scanner"),
IF(AND(CAM_N_Software&gt;CAM_N_System,CAM_N_Software-1&gt;((ROW(G210)-ROW($G$189))/4+1)),IF(N_SystemTotal=0,"Software Only",IF(N_STDScanners+N_LAScanners+N_LCScanners=0,"Software Sans Scanner","Software Avec Scanner")),
IF(CAM_N_UpgradeUpdate-1&gt;=((ROW(G210)-ROW($G$189))/4+1)-(MAX(CAM_N_System,CAM_N_Software)-1),"Update","")))</f>
        <v/>
      </c>
      <c r="K210" s="349"/>
      <c r="L210" s="348"/>
      <c r="M210" s="348"/>
      <c r="N210" s="348"/>
      <c r="O210" s="302"/>
      <c r="P210" s="302"/>
      <c r="Q210" s="302"/>
    </row>
    <row r="211" spans="1:17" ht="24" customHeight="1" x14ac:dyDescent="0.2">
      <c r="A211" s="567" t="s">
        <v>268</v>
      </c>
      <c r="B211" s="375" t="s">
        <v>268</v>
      </c>
      <c r="C211" s="507" t="str">
        <f>"☐☐ Win" &amp;
IF(INT((ROW(D211)-10)/30)+1=1,"DEN","")&amp;
IF(INT((ROW(D211)-10)/30)+1=2,"CEL","")&amp;
IF(INT((ROW(D211)-10)/30)+1=3,"RHI","")&amp;
IF(INT((ROW(D211)-10)/30)+1=4,"RT","")&amp;
IF(INT((ROW(D211)-10)/30)+1=5,"FOL","")&amp;
IF(INT((ROW(D211)-10)/30)+1=6,"SEE","")&amp;
IF(INT((ROW(D211)-10)/30)+1=7,"CAM","")&amp;
IF(INT((ROW(D211)-10)/30)+1=8,"SCA","") &amp; ".exe"</f>
        <v>☐☐ WinCAM.exe</v>
      </c>
      <c r="D211" s="507" t="str">
        <f xml:space="preserve"> IF(N("If it is Cam, Do not Show XL")+AND(ROW(D211)&gt;=189,ROW(D211)&lt;=218),"","☐ XL" &amp;
IF(INT((ROW(D211)-10)/30)+1=1,"STEM","")&amp;
IF(INT((ROW(D211)-10)/30)+1=2,"Cell","")&amp;
IF(INT((ROW(D211)-10)/30)+1=3,"Rhizo","")&amp;
IF(INT((ROW(D211)-10)/30)+1=4,"RhizoT","")&amp;
IF(INT((ROW(D211)-10)/30)+1=5,"Folia","")&amp;
IF(INT((ROW(D211)-10)/30)+1=6,"Seedle","")&amp;
IF(INT((ROW(D211)-10)/30)+1=7,"Cam","")&amp;
IF(INT((ROW(D211)-10)/30)+1=8,"Scanopy","") &amp; ".xls")</f>
        <v/>
      </c>
      <c r="E211" s="507" t="s">
        <v>309</v>
      </c>
      <c r="F211" s="508" t="s">
        <v>159</v>
      </c>
      <c r="G211" s="507" t="str">
        <f xml:space="preserve"> IF(N("If it is Cam, Do not Show XL")+AND(ROW(G211)&gt;=189,ROW(G211)&lt;=218),"","☐ XL Man")</f>
        <v/>
      </c>
      <c r="H211" s="508" t="s">
        <v>290</v>
      </c>
      <c r="I211" s="395" t="s">
        <v>284</v>
      </c>
      <c r="J211" s="508" t="str">
        <f>IF(N("Si OR dessous = vrai, pas de box")+OR(
N("1 OR Tron ou CELL")+OR(AND(ROW(E211)&gt;=39,ROW(E211)&lt;=68),AND(ROW(E211)&gt;=99,ROW(E211)&lt;=128)),
N("2 Pas de système scanopy and range opy")+AND(ROW(E211)&gt;=219,ROW(E211)&lt;=248,SCANOPY_N_System&lt;2),
N("3 Avec LC")&amp;IF(ISERROR(LEFT(D210,SEARCH("00",D210)-3)),"",LEFT(D210,SEARCH("00",D210)-3))="LC"),"","☐ ")
&amp;
IF(N("If it's OPY, put OMount Manual instead")+
AND(ROW(D211)&gt;=219,ROW(D211)&lt;=248),
IF(SCANOPY_N_System&gt;1,
IF(SCANOPY_IndexScanner=1,"α" &amp; SCANOPY_CameraModel,SCANOPY_CameraModel_Mini) &amp; " Man",""),
IF(N("If it is Cell or Tron, Do not Show Scanner related items+No Video if LC")+OR(
AND(ROW(E211)&gt;=39,ROW(E211)&lt;=68),
AND(ROW(E211)&gt;=99,ROW(E211)&lt;=128)),
    "", IF(1=N("Si système a un scanner différent du Scanner populaire alors différent, sinon Scanner populaire")+AND(NOT(ISERROR(SEARCH("System",D210))),LEFT(D210,2)&lt;&gt;LEFT(PROD_MostPopularScanner,2)),
LEFT(D210,SEARCH("00",D210)-3),
PROD_MostPopularScanner) &amp; " Install Man"))</f>
        <v>☐ Scan. Install Man</v>
      </c>
      <c r="K211" s="507" t="str">
        <f>IF(N("If it is Cell or Tron or OPY, Do not Show Twain")+OR(AND(ROW(K211)&gt;=39,ROW(K211)&lt;=68),AND(ROW(K211)&gt;=99,ROW(K211)&lt;=128),AND(ROW(J211)&gt;=219,ROW(J211)&lt;=248)),"","☐ TWAIN")</f>
        <v>☐ TWAIN</v>
      </c>
      <c r="L211" s="508" t="str">
        <f>IF(N("Si OR dessous = vrai, pas de box")+OR(
N("1 OR Dendro+CELL, Tron+Folia,Cam")+OR(
AND(ROW(K211)&gt;=9,ROW(K211)&lt;=68),
AND(ROW(K211)&gt;=99,ROW(K211)&lt;=158),
AND(ROW(K211)&gt;=189,ROW(K211)&lt;=218)),
N("2 Pas de système scanopy and range opy")+AND(ROW(K211)&gt;=219,ROW(K211)&lt;=248,SCANOPY_N_System&lt;2),
N("3 Avec LC")&amp;IF(ISERROR(LEFT(J210,SEARCH("00",J210)-3)),"",LEFT(J210,SEARCH("00",J210)-3))="LC"),"","☐ ")
&amp;
IF(N("If it's OPY, put OMount Manual instead")+
AND(ROW(J211)&gt;=219,ROW(J211)&lt;=248),
IF(SCANOPY_N_System&gt;1,"OMount Man",""),
IF(N("If it is Dendro+CELL, Tron+Folia or Cam, Do not Show Scanner related items+No Video if LC")+OR(
AND(ROW(K211)&gt;=9,ROW(K211)&lt;=68),
AND(ROW(K211)&gt;=99,ROW(K211)&lt;=158),
AND(ROW(K211)&gt;=189,ROW(K211)&lt;=218),
IF(ISERROR(LEFT(J210,SEARCH("00",J210)-3)),"",LEFT(J210,SEARCH("00",J210)-3))="LC"),
    "", "Video " &amp; IF(1=N("Si système a un scanner différent du Scanner populaire alors différent, sinon Scanner populaire")+AND(NOT(ISERROR(SEARCH("System",J210))),LEFT(J210,2)&lt;&gt;LEFT(PROD_MostPopularScanner,2)),
LEFT(J210,SEARCH("00",J210)-3),
PROD_MostPopularScanner) &amp; " Install"))</f>
        <v/>
      </c>
      <c r="M211" s="507" t="str">
        <f>IF(N("If it is Dendro or Tron, Do not Show Color Analysis Video")+
OR(AND(ROW(L211)&gt;=9,ROW(L211)&lt;=38),
AND(ROW(L211)&gt;=99,ROW(L211)&lt;=128)), "","☐ Video ClrAna")</f>
        <v>☐ Video ClrAna</v>
      </c>
      <c r="N211" s="508" t="str">
        <f>IF(OR(INT((ROW(D211)-10)/30)+1=2,INT((ROW(D211)-10)/30)+1=4),"","☐ ")&amp;
IF(INT((ROW(D211)-10)/30)+1=1,"Scanner.cal","")&amp;
IF(INT((ROW(D211)-10)/30)+1=2,"","")&amp;
IF(INT((ROW(D211)-10)/30)+1=3,"Scanner.cal","")&amp;
IF(INT((ROW(D211)-10)/30)+1=4,"","")&amp;
IF(INT((ROW(D211)-10)/30)+1=5,"Scanner.cal","")&amp;
IF(INT((ROW(D211)-10)/30)+1=6,"Scanner.cal","")&amp;
IF(INT((ROW(D211)-10)/30)+1=7,"Scanner.cal","")&amp;
IF(INT((ROW(D211)-10)/30)+1=8,IF(SCANOPY_Camera, "Indiv", "Gen")&amp; " Lens.cal","")</f>
        <v>☐ Scanner.cal</v>
      </c>
      <c r="O211" s="395" t="str">
        <f>IF(AND(ROW(L211)&gt;=9,ROW(L211)&lt;=38),"☐ RegentTarget.blu","")</f>
        <v/>
      </c>
      <c r="P211" s="302"/>
      <c r="Q211" s="302"/>
    </row>
    <row r="212" spans="1:17" ht="24" customHeight="1" x14ac:dyDescent="0.2">
      <c r="A212" s="567" t="s">
        <v>269</v>
      </c>
      <c r="B212" s="311" t="s">
        <v>269</v>
      </c>
      <c r="C212" s="395" t="s">
        <v>159</v>
      </c>
      <c r="D212" s="395" t="str">
        <f xml:space="preserve"> IF(N("If it is Cam, Do not Show XL")+AND(ROW(D212)&gt;=189,ROW(D212)&lt;=218),"","☐ XL Man")</f>
        <v/>
      </c>
      <c r="E212" s="570" t="str">
        <f>IF(N("Si OR dessous = vrai, pas de box")+OR(
N("1 OR Tron ou CELL")+OR(AND(ROW(K211)&gt;=39,ROW(K211)&lt;=68),AND(ROW(K211)&gt;=99,ROW(K211)&lt;=128)),
N("2 Pas de système scanopy and range opy")+AND(ROW(K211)&gt;=219,ROW(K211)&lt;=248,SCANOPY_N_System&lt;2),
N("3 Avec LC")&amp;IF(ISERROR(LEFT(J210,SEARCH("00",J210)-3)),"",LEFT(J210,SEARCH("00",J210)-3))="LC"),"","☐ ")
&amp;
IF(N("If it's OPY, put OMount Manual instead")+
AND(ROW(J211)&gt;=219,ROW(J211)&lt;=248),
IF(SCANOPY_N_System&gt;1,"OMount Man",""),
IF(N("If it is Cell or Tron, Do not Show Scanner related items")+OR(
AND(ROW(K211)&gt;=39,ROW(K211)&lt;=68),
AND(ROW(K211)&gt;=99,ROW(K211)&lt;=128)),
    "", IF(1=N("Si système a un scanner différent du Scanner populaire alors différent, sinon Scanner populaire")+AND(NOT(ISERROR(SEARCH("System",J210))),LEFT(J210,2)&lt;&gt;LEFT(PROD_MostPopularScanner,2)),
LEFT(J210,SEARCH("00",J210)-3),
PROD_MostPopularScanner) &amp; " Install Man"))</f>
        <v>☐ Scan. Install Man</v>
      </c>
      <c r="F212" s="509" t="s">
        <v>285</v>
      </c>
      <c r="G212" s="395" t="s">
        <v>284</v>
      </c>
      <c r="H212" s="572" t="s">
        <v>260</v>
      </c>
      <c r="I212" s="510"/>
      <c r="J212" s="395" t="s">
        <v>160</v>
      </c>
      <c r="K212" s="353"/>
      <c r="L212" s="572" t="s">
        <v>734</v>
      </c>
      <c r="M212" s="395"/>
      <c r="N212" s="509"/>
      <c r="O212" s="395"/>
      <c r="P212" s="302"/>
      <c r="Q212" s="302"/>
    </row>
    <row r="213" spans="1:17" ht="16.25" customHeight="1" x14ac:dyDescent="0.2">
      <c r="A213" s="554"/>
      <c r="B213" s="384"/>
      <c r="C213" s="836" t="str">
        <f>IF((CAM_N_UpgradeUpdate + CAM_N_Software ) = 2,"",LEFT(INDEX(CAM_SoftwareFullNames,CAM_IndexSoftware),FIND(" ",INDEX(CAM_SoftwareFullNames,CAM_IndexSoftware),FIND(" ",INDEX(CAM_SoftwareFullNames,CAM_IndexSoftware))+6)) &amp;
CAM_YearMostRecent )</f>
        <v/>
      </c>
      <c r="D213" s="836"/>
      <c r="E213" s="392"/>
      <c r="F213" s="392"/>
      <c r="G213" s="363"/>
      <c r="H213" s="349"/>
      <c r="I213" s="349"/>
      <c r="J213" s="363" t="str">
        <f>IF(CAM_N_System-1&gt;=((ROW(G213)-ROW($G$189))/4+1),IF(CAM_IndexScanner=1,"STD4800",IF(CAM_IndexScanner=2,"LA2400","LC4800P")) &amp; " System"&amp; IF(AND(CAM_ClientWithOrWithoutScanner=2,CAM_N_System&gt;1)," Sans Scanner"," Avec Scanner"),
IF(AND(CAM_N_Software&gt;CAM_N_System,CAM_N_Software-1&gt;((ROW(G213)-ROW($G$189))/4+1)),IF(N_SystemTotal=0,"Software Only",IF(N_STDScanners+N_LAScanners+N_LCScanners=0,"Software Sans Scanner","Software Avec Scanner")),
IF(CAM_N_UpgradeUpdate-1&gt;=((ROW(G213)-ROW($G$189))/4+1)-(MAX(CAM_N_System,CAM_N_Software)-1),"Update","")))</f>
        <v/>
      </c>
      <c r="K213" s="349"/>
      <c r="L213" s="348"/>
      <c r="M213" s="348"/>
      <c r="N213" s="348"/>
      <c r="O213" s="302"/>
      <c r="P213" s="302"/>
      <c r="Q213" s="302"/>
    </row>
    <row r="214" spans="1:17" ht="24" customHeight="1" x14ac:dyDescent="0.2">
      <c r="A214" s="567" t="s">
        <v>268</v>
      </c>
      <c r="B214" s="375" t="s">
        <v>268</v>
      </c>
      <c r="C214" s="507" t="str">
        <f>"☐☐ Win" &amp;
IF(INT((ROW(D214)-10)/30)+1=1,"DEN","")&amp;
IF(INT((ROW(D214)-10)/30)+1=2,"CEL","")&amp;
IF(INT((ROW(D214)-10)/30)+1=3,"RHI","")&amp;
IF(INT((ROW(D214)-10)/30)+1=4,"RT","")&amp;
IF(INT((ROW(D214)-10)/30)+1=5,"FOL","")&amp;
IF(INT((ROW(D214)-10)/30)+1=6,"SEE","")&amp;
IF(INT((ROW(D214)-10)/30)+1=7,"CAM","")&amp;
IF(INT((ROW(D214)-10)/30)+1=8,"SCA","") &amp; ".exe"</f>
        <v>☐☐ WinCAM.exe</v>
      </c>
      <c r="D214" s="507" t="str">
        <f xml:space="preserve"> IF(N("If it is Cam, Do not Show XL")+AND(ROW(D214)&gt;=189,ROW(D214)&lt;=218),"","☐ XL" &amp;
IF(INT((ROW(D214)-10)/30)+1=1,"STEM","")&amp;
IF(INT((ROW(D214)-10)/30)+1=2,"Cell","")&amp;
IF(INT((ROW(D214)-10)/30)+1=3,"Rhizo","")&amp;
IF(INT((ROW(D214)-10)/30)+1=4,"RhizoT","")&amp;
IF(INT((ROW(D214)-10)/30)+1=5,"Folia","")&amp;
IF(INT((ROW(D214)-10)/30)+1=6,"Seedle","")&amp;
IF(INT((ROW(D214)-10)/30)+1=7,"Cam","")&amp;
IF(INT((ROW(D214)-10)/30)+1=8,"Scanopy","") &amp; ".xls")</f>
        <v/>
      </c>
      <c r="E214" s="507" t="s">
        <v>309</v>
      </c>
      <c r="F214" s="508" t="s">
        <v>159</v>
      </c>
      <c r="G214" s="507" t="str">
        <f xml:space="preserve"> IF(N("If it is Cam, Do not Show XL")+AND(ROW(G214)&gt;=189,ROW(G214)&lt;=218),"","☐ XL Man")</f>
        <v/>
      </c>
      <c r="H214" s="508" t="s">
        <v>290</v>
      </c>
      <c r="I214" s="395" t="s">
        <v>284</v>
      </c>
      <c r="J214" s="508" t="str">
        <f>IF(N("Si OR dessous = vrai, pas de box")+OR(
N("1 OR Tron ou CELL")+OR(AND(ROW(E214)&gt;=39,ROW(E214)&lt;=68),AND(ROW(E214)&gt;=99,ROW(E214)&lt;=128)),
N("2 Pas de système scanopy and range opy")+AND(ROW(E214)&gt;=219,ROW(E214)&lt;=248,SCANOPY_N_System&lt;2),
N("3 Avec LC")&amp;IF(ISERROR(LEFT(D213,SEARCH("00",D213)-3)),"",LEFT(D213,SEARCH("00",D213)-3))="LC"),"","☐ ")
&amp;
IF(N("If it's OPY, put OMount Manual instead")+
AND(ROW(D214)&gt;=219,ROW(D214)&lt;=248),
IF(SCANOPY_N_System&gt;1,
IF(SCANOPY_IndexScanner=1,"α" &amp; SCANOPY_CameraModel,SCANOPY_CameraModel_Mini) &amp; " Man",""),
IF(N("If it is Cell or Tron, Do not Show Scanner related items+No Video if LC")+OR(
AND(ROW(E214)&gt;=39,ROW(E214)&lt;=68),
AND(ROW(E214)&gt;=99,ROW(E214)&lt;=128)),
    "", IF(1=N("Si système a un scanner différent du Scanner populaire alors différent, sinon Scanner populaire")+AND(NOT(ISERROR(SEARCH("System",D213))),LEFT(D213,2)&lt;&gt;LEFT(PROD_MostPopularScanner,2)),
LEFT(D213,SEARCH("00",D213)-3),
PROD_MostPopularScanner) &amp; " Install Man"))</f>
        <v>☐ Scan. Install Man</v>
      </c>
      <c r="K214" s="507" t="str">
        <f>IF(N("If it is Cell or Tron or OPY, Do not Show Twain")+OR(AND(ROW(K214)&gt;=39,ROW(K214)&lt;=68),AND(ROW(K214)&gt;=99,ROW(K214)&lt;=128),AND(ROW(J214)&gt;=219,ROW(J214)&lt;=248)),"","☐ TWAIN")</f>
        <v>☐ TWAIN</v>
      </c>
      <c r="L214" s="508" t="str">
        <f>IF(N("Si OR dessous = vrai, pas de box")+OR(
N("1 OR Dendro+CELL, Tron+Folia,Cam")+OR(
AND(ROW(K214)&gt;=9,ROW(K214)&lt;=68),
AND(ROW(K214)&gt;=99,ROW(K214)&lt;=158),
AND(ROW(K214)&gt;=189,ROW(K214)&lt;=218)),
N("2 Pas de système scanopy and range opy")+AND(ROW(K214)&gt;=219,ROW(K214)&lt;=248,SCANOPY_N_System&lt;2),
N("3 Avec LC")&amp;IF(ISERROR(LEFT(J213,SEARCH("00",J213)-3)),"",LEFT(J213,SEARCH("00",J213)-3))="LC"),"","☐ ")
&amp;
IF(N("If it's OPY, put OMount Manual instead")+
AND(ROW(J214)&gt;=219,ROW(J214)&lt;=248),
IF(SCANOPY_N_System&gt;1,"OMount Man",""),
IF(N("If it is Dendro+CELL, Tron+Folia or Cam, Do not Show Scanner related items+No Video if LC")+OR(
AND(ROW(K214)&gt;=9,ROW(K214)&lt;=68),
AND(ROW(K214)&gt;=99,ROW(K214)&lt;=158),
AND(ROW(K214)&gt;=189,ROW(K214)&lt;=218),
IF(ISERROR(LEFT(J213,SEARCH("00",J213)-3)),"",LEFT(J213,SEARCH("00",J213)-3))="LC"),
    "", "Video " &amp; IF(1=N("Si système a un scanner différent du Scanner populaire alors différent, sinon Scanner populaire")+AND(NOT(ISERROR(SEARCH("System",J213))),LEFT(J213,2)&lt;&gt;LEFT(PROD_MostPopularScanner,2)),
LEFT(J213,SEARCH("00",J213)-3),
PROD_MostPopularScanner) &amp; " Install"))</f>
        <v/>
      </c>
      <c r="M214" s="507" t="str">
        <f>IF(N("If it is Dendro or Tron, Do not Show Color Analysis Video")+
OR(AND(ROW(L214)&gt;=9,ROW(L214)&lt;=38),
AND(ROW(L214)&gt;=99,ROW(L214)&lt;=128)), "","☐ Video ClrAna")</f>
        <v>☐ Video ClrAna</v>
      </c>
      <c r="N214" s="508" t="str">
        <f>IF(OR(INT((ROW(D214)-10)/30)+1=2,INT((ROW(D214)-10)/30)+1=4),"","☐ ")&amp;
IF(INT((ROW(D214)-10)/30)+1=1,"Scanner.cal","")&amp;
IF(INT((ROW(D214)-10)/30)+1=2,"","")&amp;
IF(INT((ROW(D214)-10)/30)+1=3,"Scanner.cal","")&amp;
IF(INT((ROW(D214)-10)/30)+1=4,"","")&amp;
IF(INT((ROW(D214)-10)/30)+1=5,"Scanner.cal","")&amp;
IF(INT((ROW(D214)-10)/30)+1=6,"Scanner.cal","")&amp;
IF(INT((ROW(D214)-10)/30)+1=7,"Scanner.cal","")&amp;
IF(INT((ROW(D214)-10)/30)+1=8,IF(SCANOPY_Camera, "Indiv", "Gen")&amp; " Lens.cal","")</f>
        <v>☐ Scanner.cal</v>
      </c>
      <c r="O214" s="395" t="str">
        <f>IF(AND(ROW(L214)&gt;=9,ROW(L214)&lt;=38),"☐ RegentTarget.blu","")</f>
        <v/>
      </c>
      <c r="P214" s="302"/>
      <c r="Q214" s="302"/>
    </row>
    <row r="215" spans="1:17" ht="24" customHeight="1" x14ac:dyDescent="0.2">
      <c r="A215" s="567" t="s">
        <v>269</v>
      </c>
      <c r="B215" s="311" t="s">
        <v>269</v>
      </c>
      <c r="C215" s="395" t="s">
        <v>159</v>
      </c>
      <c r="D215" s="395" t="str">
        <f xml:space="preserve"> IF(N("If it is Cam, Do not Show XL")+AND(ROW(D215)&gt;=189,ROW(D215)&lt;=218),"","☐ XL Man")</f>
        <v/>
      </c>
      <c r="E215" s="570" t="str">
        <f>IF(N("Si OR dessous = vrai, pas de box")+OR(
N("1 OR Tron ou CELL")+OR(AND(ROW(K214)&gt;=39,ROW(K214)&lt;=68),AND(ROW(K214)&gt;=99,ROW(K214)&lt;=128)),
N("2 Pas de système scanopy and range opy")+AND(ROW(K214)&gt;=219,ROW(K214)&lt;=248,SCANOPY_N_System&lt;2),
N("3 Avec LC")&amp;IF(ISERROR(LEFT(J213,SEARCH("00",J213)-3)),"",LEFT(J213,SEARCH("00",J213)-3))="LC"),"","☐ ")
&amp;
IF(N("If it's OPY, put OMount Manual instead")+
AND(ROW(J214)&gt;=219,ROW(J214)&lt;=248),
IF(SCANOPY_N_System&gt;1,"OMount Man",""),
IF(N("If it is Cell or Tron, Do not Show Scanner related items")+OR(
AND(ROW(K214)&gt;=39,ROW(K214)&lt;=68),
AND(ROW(K214)&gt;=99,ROW(K214)&lt;=128)),
    "", IF(1=N("Si système a un scanner différent du Scanner populaire alors différent, sinon Scanner populaire")+AND(NOT(ISERROR(SEARCH("System",J213))),LEFT(J213,2)&lt;&gt;LEFT(PROD_MostPopularScanner,2)),
LEFT(J213,SEARCH("00",J213)-3),
PROD_MostPopularScanner) &amp; " Install Man"))</f>
        <v>☐ Scan. Install Man</v>
      </c>
      <c r="F215" s="509" t="s">
        <v>285</v>
      </c>
      <c r="G215" s="395" t="s">
        <v>284</v>
      </c>
      <c r="H215" s="572" t="s">
        <v>260</v>
      </c>
      <c r="I215" s="510"/>
      <c r="J215" s="395" t="s">
        <v>160</v>
      </c>
      <c r="K215" s="353"/>
      <c r="L215" s="572" t="s">
        <v>734</v>
      </c>
      <c r="M215" s="395"/>
      <c r="N215" s="509"/>
      <c r="O215" s="395"/>
      <c r="P215" s="302"/>
      <c r="Q215" s="302"/>
    </row>
    <row r="216" spans="1:17" ht="16.25" customHeight="1" x14ac:dyDescent="0.2">
      <c r="A216" s="554"/>
      <c r="B216" s="384"/>
      <c r="C216" s="836" t="str">
        <f>IF((CAM_N_UpgradeUpdate + CAM_N_Software ) = 2,"",LEFT(INDEX(CAM_SoftwareFullNames,CAM_IndexSoftware),FIND(" ",INDEX(CAM_SoftwareFullNames,CAM_IndexSoftware),FIND(" ",INDEX(CAM_SoftwareFullNames,CAM_IndexSoftware))+6)) &amp;
CAM_YearMostRecent )</f>
        <v/>
      </c>
      <c r="D216" s="836"/>
      <c r="E216" s="392"/>
      <c r="F216" s="392"/>
      <c r="G216" s="363"/>
      <c r="H216" s="349"/>
      <c r="I216" s="349"/>
      <c r="J216" s="363" t="str">
        <f>IF(CAM_N_System-1&gt;=((ROW(G216)-ROW($G$189))/4+1),IF(CAM_IndexScanner=1,"STD4800",IF(CAM_IndexScanner=2,"LA2400","LC4800P")) &amp; " System"&amp; IF(AND(CAM_ClientWithOrWithoutScanner=2,CAM_N_System&gt;1)," Sans Scanner"," Avec Scanner"),
IF(AND(CAM_N_Software&gt;CAM_N_System,CAM_N_Software-1&gt;((ROW(G216)-ROW($G$189))/4+1)),IF(N_SystemTotal=0,"Software Only",IF(N_STDScanners+N_LAScanners+N_LCScanners=0,"Software Sans Scanner","Software Avec Scanner")),
IF(CAM_N_UpgradeUpdate-1&gt;=((ROW(G216)-ROW($G$189))/4+1)-(MAX(CAM_N_System,CAM_N_Software)-1),"Update","")))</f>
        <v/>
      </c>
      <c r="K216" s="349"/>
      <c r="L216" s="348"/>
      <c r="M216" s="348"/>
      <c r="N216" s="348"/>
      <c r="O216" s="302"/>
      <c r="P216" s="302"/>
      <c r="Q216" s="302"/>
    </row>
    <row r="217" spans="1:17" ht="24" customHeight="1" x14ac:dyDescent="0.2">
      <c r="A217" s="567" t="s">
        <v>268</v>
      </c>
      <c r="B217" s="375" t="s">
        <v>268</v>
      </c>
      <c r="C217" s="507" t="str">
        <f>"☐☐ Win" &amp;
IF(INT((ROW(D217)-10)/30)+1=1,"DEN","")&amp;
IF(INT((ROW(D217)-10)/30)+1=2,"CEL","")&amp;
IF(INT((ROW(D217)-10)/30)+1=3,"RHI","")&amp;
IF(INT((ROW(D217)-10)/30)+1=4,"RT","")&amp;
IF(INT((ROW(D217)-10)/30)+1=5,"FOL","")&amp;
IF(INT((ROW(D217)-10)/30)+1=6,"SEE","")&amp;
IF(INT((ROW(D217)-10)/30)+1=7,"CAM","")&amp;
IF(INT((ROW(D217)-10)/30)+1=8,"SCA","") &amp; ".exe"</f>
        <v>☐☐ WinCAM.exe</v>
      </c>
      <c r="D217" s="507" t="str">
        <f xml:space="preserve"> IF(N("If it is Cam, Do not Show XL")+AND(ROW(D217)&gt;=189,ROW(D217)&lt;=218),"","☐ XL" &amp;
IF(INT((ROW(D217)-10)/30)+1=1,"STEM","")&amp;
IF(INT((ROW(D217)-10)/30)+1=2,"Cell","")&amp;
IF(INT((ROW(D217)-10)/30)+1=3,"Rhizo","")&amp;
IF(INT((ROW(D217)-10)/30)+1=4,"RhizoT","")&amp;
IF(INT((ROW(D217)-10)/30)+1=5,"Folia","")&amp;
IF(INT((ROW(D217)-10)/30)+1=6,"Seedle","")&amp;
IF(INT((ROW(D217)-10)/30)+1=7,"Cam","")&amp;
IF(INT((ROW(D217)-10)/30)+1=8,"Scanopy","") &amp; ".xls")</f>
        <v/>
      </c>
      <c r="E217" s="507" t="s">
        <v>309</v>
      </c>
      <c r="F217" s="508" t="s">
        <v>159</v>
      </c>
      <c r="G217" s="507" t="str">
        <f xml:space="preserve"> IF(N("If it is Cam, Do not Show XL")+AND(ROW(G217)&gt;=189,ROW(G217)&lt;=218),"","☐ XL Man")</f>
        <v/>
      </c>
      <c r="H217" s="508" t="s">
        <v>290</v>
      </c>
      <c r="I217" s="395" t="s">
        <v>284</v>
      </c>
      <c r="J217" s="508" t="str">
        <f>IF(N("Si OR dessous = vrai, pas de box")+OR(
N("1 OR Tron ou CELL")+OR(AND(ROW(E217)&gt;=39,ROW(E217)&lt;=68),AND(ROW(E217)&gt;=99,ROW(E217)&lt;=128)),
N("2 Pas de système scanopy and range opy")+AND(ROW(E217)&gt;=219,ROW(E217)&lt;=248,SCANOPY_N_System&lt;2),
N("3 Avec LC")&amp;IF(ISERROR(LEFT(D216,SEARCH("00",D216)-3)),"",LEFT(D216,SEARCH("00",D216)-3))="LC"),"","☐ ")
&amp;
IF(N("If it's OPY, put OMount Manual instead")+
AND(ROW(D217)&gt;=219,ROW(D217)&lt;=248),
IF(SCANOPY_N_System&gt;1,
IF(SCANOPY_IndexScanner=1,"α" &amp; SCANOPY_CameraModel,SCANOPY_CameraModel_Mini) &amp; " Man",""),
IF(N("If it is Cell or Tron, Do not Show Scanner related items+No Video if LC")+OR(
AND(ROW(E217)&gt;=39,ROW(E217)&lt;=68),
AND(ROW(E217)&gt;=99,ROW(E217)&lt;=128)),
    "", IF(1=N("Si système a un scanner différent du Scanner populaire alors différent, sinon Scanner populaire")+AND(NOT(ISERROR(SEARCH("System",D216))),LEFT(D216,2)&lt;&gt;LEFT(PROD_MostPopularScanner,2)),
LEFT(D216,SEARCH("00",D216)-3),
PROD_MostPopularScanner) &amp; " Install Man"))</f>
        <v>☐ Scan. Install Man</v>
      </c>
      <c r="K217" s="507" t="str">
        <f>IF(N("If it is Cell or Tron or OPY, Do not Show Twain")+OR(AND(ROW(K217)&gt;=39,ROW(K217)&lt;=68),AND(ROW(K217)&gt;=99,ROW(K217)&lt;=128),AND(ROW(J217)&gt;=219,ROW(J217)&lt;=248)),"","☐ TWAIN")</f>
        <v>☐ TWAIN</v>
      </c>
      <c r="L217" s="508" t="str">
        <f>IF(N("Si OR dessous = vrai, pas de box")+OR(
N("1 OR Dendro+CELL, Tron+Folia,Cam")+OR(
AND(ROW(K217)&gt;=9,ROW(K217)&lt;=68),
AND(ROW(K217)&gt;=99,ROW(K217)&lt;=158),
AND(ROW(K217)&gt;=189,ROW(K217)&lt;=218)),
N("2 Pas de système scanopy and range opy")+AND(ROW(K217)&gt;=219,ROW(K217)&lt;=248,SCANOPY_N_System&lt;2),
N("3 Avec LC")&amp;IF(ISERROR(LEFT(J216,SEARCH("00",J216)-3)),"",LEFT(J216,SEARCH("00",J216)-3))="LC"),"","☐ ")
&amp;
IF(N("If it's OPY, put OMount Manual instead")+
AND(ROW(J217)&gt;=219,ROW(J217)&lt;=248),
IF(SCANOPY_N_System&gt;1,"OMount Man",""),
IF(N("If it is Dendro+CELL, Tron+Folia or Cam, Do not Show Scanner related items+No Video if LC")+OR(
AND(ROW(K217)&gt;=9,ROW(K217)&lt;=68),
AND(ROW(K217)&gt;=99,ROW(K217)&lt;=158),
AND(ROW(K217)&gt;=189,ROW(K217)&lt;=218),
IF(ISERROR(LEFT(J216,SEARCH("00",J216)-3)),"",LEFT(J216,SEARCH("00",J216)-3))="LC"),
    "", "Video " &amp; IF(1=N("Si système a un scanner différent du Scanner populaire alors différent, sinon Scanner populaire")+AND(NOT(ISERROR(SEARCH("System",J216))),LEFT(J216,2)&lt;&gt;LEFT(PROD_MostPopularScanner,2)),
LEFT(J216,SEARCH("00",J216)-3),
PROD_MostPopularScanner) &amp; " Install"))</f>
        <v/>
      </c>
      <c r="M217" s="507" t="str">
        <f>IF(N("If it is Dendro or Tron, Do not Show Color Analysis Video")+
OR(AND(ROW(L217)&gt;=9,ROW(L217)&lt;=38),
AND(ROW(L217)&gt;=99,ROW(L217)&lt;=128)), "","☐ Video ClrAna")</f>
        <v>☐ Video ClrAna</v>
      </c>
      <c r="N217" s="508" t="str">
        <f>IF(OR(INT((ROW(D217)-10)/30)+1=2,INT((ROW(D217)-10)/30)+1=4),"","☐ ")&amp;
IF(INT((ROW(D217)-10)/30)+1=1,"Scanner.cal","")&amp;
IF(INT((ROW(D217)-10)/30)+1=2,"","")&amp;
IF(INT((ROW(D217)-10)/30)+1=3,"Scanner.cal","")&amp;
IF(INT((ROW(D217)-10)/30)+1=4,"","")&amp;
IF(INT((ROW(D217)-10)/30)+1=5,"Scanner.cal","")&amp;
IF(INT((ROW(D217)-10)/30)+1=6,"Scanner.cal","")&amp;
IF(INT((ROW(D217)-10)/30)+1=7,"Scanner.cal","")&amp;
IF(INT((ROW(D217)-10)/30)+1=8,IF(SCANOPY_Camera, "Indiv", "Gen")&amp; " Lens.cal","")</f>
        <v>☐ Scanner.cal</v>
      </c>
      <c r="O217" s="395" t="str">
        <f>IF(AND(ROW(L217)&gt;=9,ROW(L217)&lt;=38),"☐ RegentTarget.blu","")</f>
        <v/>
      </c>
      <c r="P217" s="302"/>
      <c r="Q217" s="302"/>
    </row>
    <row r="218" spans="1:17" ht="24" customHeight="1" x14ac:dyDescent="0.2">
      <c r="A218" s="567" t="s">
        <v>269</v>
      </c>
      <c r="B218" s="311" t="s">
        <v>269</v>
      </c>
      <c r="C218" s="395" t="s">
        <v>159</v>
      </c>
      <c r="D218" s="395" t="str">
        <f xml:space="preserve"> IF(N("If it is Cam, Do not Show XL")+AND(ROW(D218)&gt;=189,ROW(D218)&lt;=218),"","☐ XL Man")</f>
        <v/>
      </c>
      <c r="E218" s="570" t="str">
        <f>IF(N("Si OR dessous = vrai, pas de box")+OR(
N("1 OR Tron ou CELL")+OR(AND(ROW(K217)&gt;=39,ROW(K217)&lt;=68),AND(ROW(K217)&gt;=99,ROW(K217)&lt;=128)),
N("2 Pas de système scanopy and range opy")+AND(ROW(K217)&gt;=219,ROW(K217)&lt;=248,SCANOPY_N_System&lt;2),
N("3 Avec LC")&amp;IF(ISERROR(LEFT(J216,SEARCH("00",J216)-3)),"",LEFT(J216,SEARCH("00",J216)-3))="LC"),"","☐ ")
&amp;
IF(N("If it's OPY, put OMount Manual instead")+
AND(ROW(J217)&gt;=219,ROW(J217)&lt;=248),
IF(SCANOPY_N_System&gt;1,"OMount Man",""),
IF(N("If it is Cell or Tron, Do not Show Scanner related items")+OR(
AND(ROW(K217)&gt;=39,ROW(K217)&lt;=68),
AND(ROW(K217)&gt;=99,ROW(K217)&lt;=128)),
    "", IF(1=N("Si système a un scanner différent du Scanner populaire alors différent, sinon Scanner populaire")+AND(NOT(ISERROR(SEARCH("System",J216))),LEFT(J216,2)&lt;&gt;LEFT(PROD_MostPopularScanner,2)),
LEFT(J216,SEARCH("00",J216)-3),
PROD_MostPopularScanner) &amp; " Install Man"))</f>
        <v>☐ Scan. Install Man</v>
      </c>
      <c r="F218" s="509" t="s">
        <v>285</v>
      </c>
      <c r="G218" s="395" t="s">
        <v>284</v>
      </c>
      <c r="H218" s="572" t="s">
        <v>260</v>
      </c>
      <c r="I218" s="510"/>
      <c r="J218" s="395" t="s">
        <v>160</v>
      </c>
      <c r="K218" s="353"/>
      <c r="L218" s="572" t="s">
        <v>734</v>
      </c>
      <c r="M218" s="395"/>
      <c r="N218" s="509"/>
      <c r="O218" s="395"/>
      <c r="P218" s="302"/>
      <c r="Q218" s="302"/>
    </row>
    <row r="219" spans="1:17" ht="16.25" customHeight="1" x14ac:dyDescent="0.2">
      <c r="A219" s="555"/>
      <c r="B219" s="385"/>
      <c r="C219" s="834" t="str">
        <f>IF((SCANOPY_N_UpgradeUpdate + SCANOPY_N_Software ) = 2,"",LEFT(INDEX(SCANOPY_SoftwareFullNames,SCANOPY_IndexSoftware),FIND(" ",INDEX(SCANOPY_SoftwareFullNames,SCANOPY_IndexSoftware),FIND(" ",INDEX(SCANOPY_SoftwareFullNames,SCANOPY_IndexSoftware))+1)) &amp;
SCANOPY_YearMostRecent )</f>
        <v/>
      </c>
      <c r="D219" s="834"/>
      <c r="E219" s="393"/>
      <c r="F219" s="393"/>
      <c r="G219" s="364" t="str">
        <f>IF(SCANOPY_OptionXL*(SCANOPY_N_Software+SCANOPY_N_UpgradeUpdate-2)&gt;=((ROW(G219)-ROW($G$219))/4+1),"XLSCANOPY "&amp; SCANOPY_YearMostRecent,IF(SCANOPY_Option1*(SCANOPY_N_Software-1)&gt;=((ROW(G219)-ROW($G$219))/4+1),"XLSCANOPY Mini "&amp; SCANOPY_YearMostRecent,""))</f>
        <v/>
      </c>
      <c r="H219" s="351"/>
      <c r="I219" s="351"/>
      <c r="J219" s="364" t="str">
        <f>IF(SCANOPY_N_System-1&gt;=((ROW(G219)-ROW($G$219))/4+1),IF(Francais,"Système","")&amp;IF(SCANOPY_IndexScanner=1," 24 MP DSLR"," 24 MP Mini Point&amp;Shoot")&amp;IF(Francais,""," System"),
IF(AND(SCANOPY_N_Software&gt;SCANOPY_N_System,SCANOPY_N_Software-1&gt;((ROW(G219)-ROW($G$219))/4+1)),IF(N_SystemTotal=0,"Software Only",IF(N_STDScanners+N_LAScanners+N_LCScanners=0,"Software Sans Scanner","Software Avec Scanner")),
IF(SCANOPY_N_UpgradeUpdate-1&gt;=((ROW(G219)-ROW($G$219))/4+1)-(MAX(SCANOPY_N_System,SCANOPY_N_Software)-1),"Update","")))</f>
        <v/>
      </c>
      <c r="K219" s="351"/>
      <c r="L219" s="350"/>
      <c r="M219" s="350"/>
      <c r="N219" s="350"/>
      <c r="O219" s="302"/>
      <c r="P219" s="302"/>
      <c r="Q219" s="302"/>
    </row>
    <row r="220" spans="1:17" ht="24" customHeight="1" x14ac:dyDescent="0.2">
      <c r="A220" s="596" t="s">
        <v>268</v>
      </c>
      <c r="B220" s="375" t="s">
        <v>268</v>
      </c>
      <c r="C220" s="507" t="str">
        <f>"☐☐ Win" &amp;
IF(INT((ROW(D220)-10)/30)+1=1,"DEN","")&amp;
IF(INT((ROW(D220)-10)/30)+1=2,"CEL","")&amp;
IF(INT((ROW(D220)-10)/30)+1=3,"RHI","")&amp;
IF(INT((ROW(D220)-10)/30)+1=4,"RT","")&amp;
IF(INT((ROW(D220)-10)/30)+1=5,"FOL","")&amp;
IF(INT((ROW(D220)-10)/30)+1=6,"SEE","")&amp;
IF(INT((ROW(D220)-10)/30)+1=7,"CAM","")&amp;
IF(INT((ROW(D220)-10)/30)+1=8,"SCA","") &amp; ".exe"</f>
        <v>☐☐ WinSCA.exe</v>
      </c>
      <c r="D220" s="507" t="str">
        <f xml:space="preserve"> IF(N("If it is Cam, Do not Show XL")+AND(ROW(D220)&gt;=189,ROW(D220)&lt;=218),"","☐ XL" &amp;
IF(INT((ROW(D220)-10)/30)+1=1,"STEM","")&amp;
IF(INT((ROW(D220)-10)/30)+1=2,"Cell","")&amp;
IF(INT((ROW(D220)-10)/30)+1=3,"Rhizo","")&amp;
IF(INT((ROW(D220)-10)/30)+1=4,"RhizoT","")&amp;
IF(INT((ROW(D220)-10)/30)+1=5,"Folia","")&amp;
IF(INT((ROW(D220)-10)/30)+1=6,"Seedle","")&amp;
IF(INT((ROW(D220)-10)/30)+1=7,"Cam","")&amp;
IF(INT((ROW(D220)-10)/30)+1=8,"Scanopy","") &amp; ".xls")</f>
        <v>☐ XLScanopy.xls</v>
      </c>
      <c r="E220" s="507" t="s">
        <v>309</v>
      </c>
      <c r="F220" s="508" t="s">
        <v>159</v>
      </c>
      <c r="G220" s="507" t="str">
        <f xml:space="preserve"> IF(N("If it is Cam, Do not Show XL")+AND(ROW(G220)&gt;=189,ROW(G220)&lt;=218),"","☐ XL Man")</f>
        <v>☐ XL Man</v>
      </c>
      <c r="H220" s="508" t="s">
        <v>290</v>
      </c>
      <c r="I220" s="395" t="s">
        <v>284</v>
      </c>
      <c r="J220" s="508" t="str">
        <f>IF(N("Si OR dessous = vrai, pas de box")+OR(
N("1 OR Tron ou CELL")+OR(AND(ROW(E220)&gt;=39,ROW(E220)&lt;=68),AND(ROW(E220)&gt;=99,ROW(E220)&lt;=128)),
N("2 Pas de système scanopy and range opy")+AND(ROW(E220)&gt;=219,ROW(E220)&lt;=248,SCANOPY_N_System&lt;2),
N("3 Avec LC")&amp;IF(ISERROR(LEFT(D219,SEARCH("00",D219)-3)),"",LEFT(D219,SEARCH("00",D219)-3))="LC"),"","☐ ")
&amp;
IF(N("If it's OPY, put OMount Manual instead")+
AND(ROW(D220)&gt;=219,ROW(D220)&lt;=248),
IF(SCANOPY_N_System&gt;1,
IF(SCANOPY_IndexScanner=1,"α" &amp; SCANOPY_CameraModel,SCANOPY_CameraModel_Mini) &amp; " Man",""),
IF(N("If it is Cell or Tron, Do not Show Scanner related items+No Video if LC")+OR(
AND(ROW(E220)&gt;=39,ROW(E220)&lt;=68),
AND(ROW(E220)&gt;=99,ROW(E220)&lt;=128)),
    "", IF(1=N("Si système a un scanner différent du Scanner populaire alors différent, sinon Scanner populaire")+AND(NOT(ISERROR(SEARCH("System",D219))),LEFT(D219,2)&lt;&gt;LEFT(PROD_MostPopularScanner,2)),
LEFT(D219,SEARCH("00",D219)-3),
PROD_MostPopularScanner) &amp; " Install Man"))</f>
        <v/>
      </c>
      <c r="K220" s="507" t="str">
        <f>IF(N("If it is Cell or Tron or OPY, Do not Show Twain")+OR(AND(ROW(K220)&gt;=39,ROW(K220)&lt;=68),AND(ROW(K220)&gt;=99,ROW(K220)&lt;=128),AND(ROW(J220)&gt;=219,ROW(J220)&lt;=248)),"","☐ TWAIN")</f>
        <v/>
      </c>
      <c r="L220" s="508" t="str">
        <f>IF(N("Si OR dessous = vrai, pas de box")+OR(
N("1 OR Dendro+CELL, Tron+Folia,Cam")+OR(
AND(ROW(K220)&gt;=9,ROW(K220)&lt;=68),
AND(ROW(K220)&gt;=99,ROW(K220)&lt;=158),
AND(ROW(K220)&gt;=189,ROW(K220)&lt;=218)),
N("2 Pas de système scanopy and range opy")+AND(ROW(K220)&gt;=219,ROW(K220)&lt;=248,SCANOPY_N_System&lt;2),
N("3 Avec LC")&amp;IF(ISERROR(LEFT(J219,SEARCH("00",J219)-3)),"",LEFT(J219,SEARCH("00",J219)-3))="LC"),"","☐ ")
&amp;
IF(N("If it's OPY, put OMount Manual instead")+
AND(ROW(J220)&gt;=219,ROW(J220)&lt;=248),
IF(SCANOPY_N_System&gt;1,"OMount Man",""),
IF(N("If it is Dendro+CELL, Tron+Folia or Cam, Do not Show Scanner related items+No Video if LC")+OR(
AND(ROW(K220)&gt;=9,ROW(K220)&lt;=68),
AND(ROW(K220)&gt;=99,ROW(K220)&lt;=158),
AND(ROW(K220)&gt;=189,ROW(K220)&lt;=218),
IF(ISERROR(LEFT(J219,SEARCH("00",J219)-3)),"",LEFT(J219,SEARCH("00",J219)-3))="LC"),
    "", "Video " &amp; IF(1=N("Si système a un scanner différent du Scanner populaire alors différent, sinon Scanner populaire")+AND(NOT(ISERROR(SEARCH("System",J219))),LEFT(J219,2)&lt;&gt;LEFT(PROD_MostPopularScanner,2)),
LEFT(J219,SEARCH("00",J219)-3),
PROD_MostPopularScanner) &amp; " Install"))</f>
        <v/>
      </c>
      <c r="M220" s="507" t="str">
        <f>IF(N("If it is Dendro or Tron, Do not Show Color Analysis Video")+
OR(AND(ROW(L220)&gt;=9,ROW(L220)&lt;=38),
AND(ROW(L220)&gt;=99,ROW(L220)&lt;=128)), "","☐ Video ClrAna")</f>
        <v>☐ Video ClrAna</v>
      </c>
      <c r="N220" s="508" t="str">
        <f>IF(OR(INT((ROW(D220)-10)/30)+1=2,INT((ROW(D220)-10)/30)+1=4),"","☐ ")&amp;
IF(INT((ROW(D220)-10)/30)+1=1,"Scanner.cal","")&amp;
IF(INT((ROW(D220)-10)/30)+1=2,"","")&amp;
IF(INT((ROW(D220)-10)/30)+1=3,"Scanner.cal","")&amp;
IF(INT((ROW(D220)-10)/30)+1=4,"","")&amp;
IF(INT((ROW(D220)-10)/30)+1=5,"Scanner.cal","")&amp;
IF(INT((ROW(D220)-10)/30)+1=6,"Scanner.cal","")&amp;
IF(INT((ROW(D220)-10)/30)+1=7,"Scanner.cal","")&amp;
IF(INT((ROW(D220)-10)/30)+1=8,IF(SCANOPY_Camera, "Indiv", "Gen")&amp; " Lens.cal","")</f>
        <v>☐ Indiv Lens.cal</v>
      </c>
      <c r="O220" s="395" t="str">
        <f>IF(AND(ROW(L220)&gt;=9,ROW(L220)&lt;=38),"☐ RegentTarget.blu","")</f>
        <v/>
      </c>
      <c r="P220" s="302"/>
      <c r="Q220" s="302"/>
    </row>
    <row r="221" spans="1:17" ht="24" customHeight="1" x14ac:dyDescent="0.2">
      <c r="A221" s="596" t="s">
        <v>269</v>
      </c>
      <c r="B221" s="311" t="s">
        <v>269</v>
      </c>
      <c r="C221" s="395" t="s">
        <v>159</v>
      </c>
      <c r="D221" s="395" t="str">
        <f xml:space="preserve"> IF(N("If it is Cam, Do not Show XL")+AND(ROW(D221)&gt;=189,ROW(D221)&lt;=218),"","☐ XL Man")</f>
        <v>☐ XL Man</v>
      </c>
      <c r="E221" s="570" t="str">
        <f>IF(N("Si OR dessous = vrai, pas de box")+OR(
N("1 OR Tron ou CELL")+OR(AND(ROW(K220)&gt;=39,ROW(K220)&lt;=68),AND(ROW(K220)&gt;=99,ROW(K220)&lt;=128)),
N("2 Pas de système scanopy and range opy")+AND(ROW(K220)&gt;=219,ROW(K220)&lt;=248,SCANOPY_N_System&lt;2),
N("3 Avec LC")&amp;IF(ISERROR(LEFT(J219,SEARCH("00",J219)-3)),"",LEFT(J219,SEARCH("00",J219)-3))="LC"),"","☐ ")
&amp;
IF(N("If it's OPY, put OMount Manual instead")+
AND(ROW(J220)&gt;=219,ROW(J220)&lt;=248),
IF(SCANOPY_N_System&gt;1,"OMount Man",""),
IF(N("If it is Cell or Tron, Do not Show Scanner related items")+OR(
AND(ROW(K220)&gt;=39,ROW(K220)&lt;=68),
AND(ROW(K220)&gt;=99,ROW(K220)&lt;=128)),
    "", IF(1=N("Si système a un scanner différent du Scanner populaire alors différent, sinon Scanner populaire")+AND(NOT(ISERROR(SEARCH("System",J219))),LEFT(J219,2)&lt;&gt;LEFT(PROD_MostPopularScanner,2)),
LEFT(J219,SEARCH("00",J219)-3),
PROD_MostPopularScanner) &amp; " Install Man"))</f>
        <v/>
      </c>
      <c r="F221" s="509" t="s">
        <v>285</v>
      </c>
      <c r="G221" s="395" t="s">
        <v>284</v>
      </c>
      <c r="H221" s="572" t="s">
        <v>260</v>
      </c>
      <c r="I221" s="510"/>
      <c r="J221" s="395" t="s">
        <v>160</v>
      </c>
      <c r="K221" s="353"/>
      <c r="L221" s="572" t="s">
        <v>734</v>
      </c>
      <c r="M221" s="395"/>
      <c r="N221" s="509"/>
      <c r="O221" s="395"/>
      <c r="P221" s="302"/>
      <c r="Q221" s="302"/>
    </row>
    <row r="222" spans="1:17" ht="16.25" customHeight="1" x14ac:dyDescent="0.2">
      <c r="A222" s="555"/>
      <c r="B222" s="385"/>
      <c r="C222" s="834" t="str">
        <f>IF((SCANOPY_N_UpgradeUpdate + SCANOPY_N_Software ) = 2,"",LEFT(INDEX(SCANOPY_SoftwareFullNames,SCANOPY_IndexSoftware),FIND(" ",INDEX(SCANOPY_SoftwareFullNames,SCANOPY_IndexSoftware),FIND(" ",INDEX(SCANOPY_SoftwareFullNames,SCANOPY_IndexSoftware))+1)) &amp;
SCANOPY_YearMostRecent )</f>
        <v/>
      </c>
      <c r="D222" s="834"/>
      <c r="E222" s="393"/>
      <c r="F222" s="393"/>
      <c r="G222" s="364" t="str">
        <f>IF(SCANOPY_OptionXL*(SCANOPY_N_Software+SCANOPY_N_UpgradeUpdate-2)&gt;=((ROW(G222)-ROW($G$219))/4+1),"XLSCANOPY "&amp; SCANOPY_YearMostRecent,IF(SCANOPY_Option1*(SCANOPY_N_Software-1)&gt;=((ROW(G222)-ROW($G$219))/4+1),"XLSCANOPY Mini "&amp; SCANOPY_YearMostRecent,""))</f>
        <v/>
      </c>
      <c r="H222" s="351"/>
      <c r="I222" s="351"/>
      <c r="J222" s="364" t="str">
        <f>IF(SCANOPY_N_System-1&gt;=((ROW(G222)-ROW($G$219))/4+1),IF(Francais,"Système","")&amp;IF(SCANOPY_IndexScanner=1," 24 MP DSLR"," 24 MP Mini Point&amp;Shoot")&amp;IF(Francais,""," System"),
IF(AND(SCANOPY_N_Software&gt;SCANOPY_N_System,SCANOPY_N_Software-1&gt;((ROW(G222)-ROW($G$219))/4+1)),IF(N_SystemTotal=0,"Software Only",IF(N_STDScanners+N_LAScanners+N_LCScanners=0,"Software Sans Scanner","Software Avec Scanner")),
IF(SCANOPY_N_UpgradeUpdate-1&gt;=((ROW(G222)-ROW($G$219))/4+1)-(MAX(SCANOPY_N_System,SCANOPY_N_Software)-1),"Update","")))</f>
        <v/>
      </c>
      <c r="K222" s="351"/>
      <c r="L222" s="350"/>
      <c r="M222" s="350"/>
      <c r="N222" s="350"/>
      <c r="O222" s="302"/>
      <c r="P222" s="302"/>
      <c r="Q222" s="302"/>
    </row>
    <row r="223" spans="1:17" ht="24" customHeight="1" x14ac:dyDescent="0.2">
      <c r="A223" s="596" t="s">
        <v>268</v>
      </c>
      <c r="B223" s="375" t="s">
        <v>268</v>
      </c>
      <c r="C223" s="507" t="str">
        <f>"☐☐ Win" &amp;
IF(INT((ROW(D223)-10)/30)+1=1,"DEN","")&amp;
IF(INT((ROW(D223)-10)/30)+1=2,"CEL","")&amp;
IF(INT((ROW(D223)-10)/30)+1=3,"RHI","")&amp;
IF(INT((ROW(D223)-10)/30)+1=4,"RT","")&amp;
IF(INT((ROW(D223)-10)/30)+1=5,"FOL","")&amp;
IF(INT((ROW(D223)-10)/30)+1=6,"SEE","")&amp;
IF(INT((ROW(D223)-10)/30)+1=7,"CAM","")&amp;
IF(INT((ROW(D223)-10)/30)+1=8,"SCA","") &amp; ".exe"</f>
        <v>☐☐ WinSCA.exe</v>
      </c>
      <c r="D223" s="507" t="str">
        <f xml:space="preserve"> IF(N("If it is Cam, Do not Show XL")+AND(ROW(D223)&gt;=189,ROW(D223)&lt;=218),"","☐ XL" &amp;
IF(INT((ROW(D223)-10)/30)+1=1,"STEM","")&amp;
IF(INT((ROW(D223)-10)/30)+1=2,"Cell","")&amp;
IF(INT((ROW(D223)-10)/30)+1=3,"Rhizo","")&amp;
IF(INT((ROW(D223)-10)/30)+1=4,"RhizoT","")&amp;
IF(INT((ROW(D223)-10)/30)+1=5,"Folia","")&amp;
IF(INT((ROW(D223)-10)/30)+1=6,"Seedle","")&amp;
IF(INT((ROW(D223)-10)/30)+1=7,"Cam","")&amp;
IF(INT((ROW(D223)-10)/30)+1=8,"Scanopy","") &amp; ".xls")</f>
        <v>☐ XLScanopy.xls</v>
      </c>
      <c r="E223" s="507" t="s">
        <v>309</v>
      </c>
      <c r="F223" s="508" t="s">
        <v>159</v>
      </c>
      <c r="G223" s="507" t="str">
        <f xml:space="preserve"> IF(N("If it is Cam, Do not Show XL")+AND(ROW(G223)&gt;=189,ROW(G223)&lt;=218),"","☐ XL Man")</f>
        <v>☐ XL Man</v>
      </c>
      <c r="H223" s="508" t="s">
        <v>290</v>
      </c>
      <c r="I223" s="395" t="s">
        <v>284</v>
      </c>
      <c r="J223" s="508" t="str">
        <f>IF(N("Si OR dessous = vrai, pas de box")+OR(
N("1 OR Tron ou CELL")+OR(AND(ROW(E223)&gt;=39,ROW(E223)&lt;=68),AND(ROW(E223)&gt;=99,ROW(E223)&lt;=128)),
N("2 Pas de système scanopy and range opy")+AND(ROW(E223)&gt;=219,ROW(E223)&lt;=248,SCANOPY_N_System&lt;2),
N("3 Avec LC")&amp;IF(ISERROR(LEFT(D222,SEARCH("00",D222)-3)),"",LEFT(D222,SEARCH("00",D222)-3))="LC"),"","☐ ")
&amp;
IF(N("If it's OPY, put OMount Manual instead")+
AND(ROW(D223)&gt;=219,ROW(D223)&lt;=248),
IF(SCANOPY_N_System&gt;1,
IF(SCANOPY_IndexScanner=1,"α" &amp; SCANOPY_CameraModel,SCANOPY_CameraModel_Mini) &amp; " Man",""),
IF(N("If it is Cell or Tron, Do not Show Scanner related items+No Video if LC")+OR(
AND(ROW(E223)&gt;=39,ROW(E223)&lt;=68),
AND(ROW(E223)&gt;=99,ROW(E223)&lt;=128)),
    "", IF(1=N("Si système a un scanner différent du Scanner populaire alors différent, sinon Scanner populaire")+AND(NOT(ISERROR(SEARCH("System",D222))),LEFT(D222,2)&lt;&gt;LEFT(PROD_MostPopularScanner,2)),
LEFT(D222,SEARCH("00",D222)-3),
PROD_MostPopularScanner) &amp; " Install Man"))</f>
        <v/>
      </c>
      <c r="K223" s="507" t="str">
        <f>IF(N("If it is Cell or Tron or OPY, Do not Show Twain")+OR(AND(ROW(K223)&gt;=39,ROW(K223)&lt;=68),AND(ROW(K223)&gt;=99,ROW(K223)&lt;=128),AND(ROW(J223)&gt;=219,ROW(J223)&lt;=248)),"","☐ TWAIN")</f>
        <v/>
      </c>
      <c r="L223" s="508" t="str">
        <f>IF(N("Si OR dessous = vrai, pas de box")+OR(
N("1 OR Dendro+CELL, Tron+Folia,Cam")+OR(
AND(ROW(K223)&gt;=9,ROW(K223)&lt;=68),
AND(ROW(K223)&gt;=99,ROW(K223)&lt;=158),
AND(ROW(K223)&gt;=189,ROW(K223)&lt;=218)),
N("2 Pas de système scanopy and range opy")+AND(ROW(K223)&gt;=219,ROW(K223)&lt;=248,SCANOPY_N_System&lt;2),
N("3 Avec LC")&amp;IF(ISERROR(LEFT(J222,SEARCH("00",J222)-3)),"",LEFT(J222,SEARCH("00",J222)-3))="LC"),"","☐ ")
&amp;
IF(N("If it's OPY, put OMount Manual instead")+
AND(ROW(J223)&gt;=219,ROW(J223)&lt;=248),
IF(SCANOPY_N_System&gt;1,"OMount Man",""),
IF(N("If it is Dendro+CELL, Tron+Folia or Cam, Do not Show Scanner related items+No Video if LC")+OR(
AND(ROW(K223)&gt;=9,ROW(K223)&lt;=68),
AND(ROW(K223)&gt;=99,ROW(K223)&lt;=158),
AND(ROW(K223)&gt;=189,ROW(K223)&lt;=218),
IF(ISERROR(LEFT(J222,SEARCH("00",J222)-3)),"",LEFT(J222,SEARCH("00",J222)-3))="LC"),
    "", "Video " &amp; IF(1=N("Si système a un scanner différent du Scanner populaire alors différent, sinon Scanner populaire")+AND(NOT(ISERROR(SEARCH("System",J222))),LEFT(J222,2)&lt;&gt;LEFT(PROD_MostPopularScanner,2)),
LEFT(J222,SEARCH("00",J222)-3),
PROD_MostPopularScanner) &amp; " Install"))</f>
        <v/>
      </c>
      <c r="M223" s="507" t="str">
        <f>IF(N("If it is Dendro or Tron, Do not Show Color Analysis Video")+
OR(AND(ROW(L223)&gt;=9,ROW(L223)&lt;=38),
AND(ROW(L223)&gt;=99,ROW(L223)&lt;=128)), "","☐ Video ClrAna")</f>
        <v>☐ Video ClrAna</v>
      </c>
      <c r="N223" s="508" t="str">
        <f>IF(OR(INT((ROW(D223)-10)/30)+1=2,INT((ROW(D223)-10)/30)+1=4),"","☐ ")&amp;
IF(INT((ROW(D223)-10)/30)+1=1,"Scanner.cal","")&amp;
IF(INT((ROW(D223)-10)/30)+1=2,"","")&amp;
IF(INT((ROW(D223)-10)/30)+1=3,"Scanner.cal","")&amp;
IF(INT((ROW(D223)-10)/30)+1=4,"","")&amp;
IF(INT((ROW(D223)-10)/30)+1=5,"Scanner.cal","")&amp;
IF(INT((ROW(D223)-10)/30)+1=6,"Scanner.cal","")&amp;
IF(INT((ROW(D223)-10)/30)+1=7,"Scanner.cal","")&amp;
IF(INT((ROW(D223)-10)/30)+1=8,IF(SCANOPY_Camera, "Indiv", "Gen")&amp; " Lens.cal","")</f>
        <v>☐ Indiv Lens.cal</v>
      </c>
      <c r="O223" s="395" t="str">
        <f>IF(AND(ROW(L223)&gt;=9,ROW(L223)&lt;=38),"☐ RegentTarget.blu","")</f>
        <v/>
      </c>
      <c r="P223" s="302"/>
      <c r="Q223" s="302"/>
    </row>
    <row r="224" spans="1:17" ht="24" customHeight="1" x14ac:dyDescent="0.2">
      <c r="A224" s="596" t="s">
        <v>269</v>
      </c>
      <c r="B224" s="311" t="s">
        <v>269</v>
      </c>
      <c r="C224" s="395" t="s">
        <v>159</v>
      </c>
      <c r="D224" s="395" t="str">
        <f xml:space="preserve"> IF(N("If it is Cam, Do not Show XL")+AND(ROW(D224)&gt;=189,ROW(D224)&lt;=218),"","☐ XL Man")</f>
        <v>☐ XL Man</v>
      </c>
      <c r="E224" s="570" t="str">
        <f>IF(N("Si OR dessous = vrai, pas de box")+OR(
N("1 OR Tron ou CELL")+OR(AND(ROW(K223)&gt;=39,ROW(K223)&lt;=68),AND(ROW(K223)&gt;=99,ROW(K223)&lt;=128)),
N("2 Pas de système scanopy and range opy")+AND(ROW(K223)&gt;=219,ROW(K223)&lt;=248,SCANOPY_N_System&lt;2),
N("3 Avec LC")&amp;IF(ISERROR(LEFT(J222,SEARCH("00",J222)-3)),"",LEFT(J222,SEARCH("00",J222)-3))="LC"),"","☐ ")
&amp;
IF(N("If it's OPY, put OMount Manual instead")+
AND(ROW(J223)&gt;=219,ROW(J223)&lt;=248),
IF(SCANOPY_N_System&gt;1,"OMount Man",""),
IF(N("If it is Cell or Tron, Do not Show Scanner related items")+OR(
AND(ROW(K223)&gt;=39,ROW(K223)&lt;=68),
AND(ROW(K223)&gt;=99,ROW(K223)&lt;=128)),
    "", IF(1=N("Si système a un scanner différent du Scanner populaire alors différent, sinon Scanner populaire")+AND(NOT(ISERROR(SEARCH("System",J222))),LEFT(J222,2)&lt;&gt;LEFT(PROD_MostPopularScanner,2)),
LEFT(J222,SEARCH("00",J222)-3),
PROD_MostPopularScanner) &amp; " Install Man"))</f>
        <v/>
      </c>
      <c r="F224" s="509" t="s">
        <v>285</v>
      </c>
      <c r="G224" s="395" t="s">
        <v>284</v>
      </c>
      <c r="H224" s="572" t="s">
        <v>260</v>
      </c>
      <c r="I224" s="510"/>
      <c r="J224" s="395" t="s">
        <v>160</v>
      </c>
      <c r="K224" s="353"/>
      <c r="L224" s="572" t="s">
        <v>734</v>
      </c>
      <c r="M224" s="395"/>
      <c r="N224" s="509"/>
      <c r="O224" s="395"/>
      <c r="P224" s="302"/>
      <c r="Q224" s="302"/>
    </row>
    <row r="225" spans="1:17" ht="16.25" customHeight="1" x14ac:dyDescent="0.2">
      <c r="A225" s="555"/>
      <c r="B225" s="385"/>
      <c r="C225" s="834" t="str">
        <f>IF((SCANOPY_N_UpgradeUpdate + SCANOPY_N_Software ) = 2,"",LEFT(INDEX(SCANOPY_SoftwareFullNames,SCANOPY_IndexSoftware),FIND(" ",INDEX(SCANOPY_SoftwareFullNames,SCANOPY_IndexSoftware),FIND(" ",INDEX(SCANOPY_SoftwareFullNames,SCANOPY_IndexSoftware))+1)) &amp;
SCANOPY_YearMostRecent )</f>
        <v/>
      </c>
      <c r="D225" s="834"/>
      <c r="E225" s="393"/>
      <c r="F225" s="393"/>
      <c r="G225" s="364" t="str">
        <f>IF(SCANOPY_OptionXL*(SCANOPY_N_Software+SCANOPY_N_UpgradeUpdate-2)&gt;=((ROW(G225)-ROW($G$219))/4+1),"XLSCANOPY "&amp; SCANOPY_YearMostRecent,IF(SCANOPY_Option1*(SCANOPY_N_Software-1)&gt;=((ROW(G225)-ROW($G$219))/4+1),"XLSCANOPY Mini "&amp; SCANOPY_YearMostRecent,""))</f>
        <v/>
      </c>
      <c r="H225" s="351"/>
      <c r="I225" s="351"/>
      <c r="J225" s="364" t="str">
        <f>IF(SCANOPY_N_System-1&gt;=((ROW(G225)-ROW($G$219))/4+1),IF(Francais,"Système","")&amp;IF(SCANOPY_IndexScanner=1," 24 MP DSLR"," 24 MP Mini Point&amp;Shoot")&amp;IF(Francais,""," System"),
IF(AND(SCANOPY_N_Software&gt;SCANOPY_N_System,SCANOPY_N_Software-1&gt;((ROW(G225)-ROW($G$219))/4+1)),IF(N_SystemTotal=0,"Software Only",IF(N_STDScanners+N_LAScanners+N_LCScanners=0,"Software Sans Scanner","Software Avec Scanner")),
IF(SCANOPY_N_UpgradeUpdate-1&gt;=((ROW(G225)-ROW($G$219))/4+1)-(MAX(SCANOPY_N_System,SCANOPY_N_Software)-1),"Update","")))</f>
        <v/>
      </c>
      <c r="K225" s="351"/>
      <c r="L225" s="350"/>
      <c r="M225" s="350"/>
      <c r="N225" s="350"/>
      <c r="O225" s="302"/>
      <c r="P225" s="302"/>
      <c r="Q225" s="302"/>
    </row>
    <row r="226" spans="1:17" ht="24" customHeight="1" x14ac:dyDescent="0.2">
      <c r="A226" s="596" t="s">
        <v>268</v>
      </c>
      <c r="B226" s="375" t="s">
        <v>268</v>
      </c>
      <c r="C226" s="507" t="str">
        <f>"☐☐ Win" &amp;
IF(INT((ROW(D226)-10)/30)+1=1,"DEN","")&amp;
IF(INT((ROW(D226)-10)/30)+1=2,"CEL","")&amp;
IF(INT((ROW(D226)-10)/30)+1=3,"RHI","")&amp;
IF(INT((ROW(D226)-10)/30)+1=4,"RT","")&amp;
IF(INT((ROW(D226)-10)/30)+1=5,"FOL","")&amp;
IF(INT((ROW(D226)-10)/30)+1=6,"SEE","")&amp;
IF(INT((ROW(D226)-10)/30)+1=7,"CAM","")&amp;
IF(INT((ROW(D226)-10)/30)+1=8,"SCA","") &amp; ".exe"</f>
        <v>☐☐ WinSCA.exe</v>
      </c>
      <c r="D226" s="507" t="str">
        <f xml:space="preserve"> IF(N("If it is Cam, Do not Show XL")+AND(ROW(D226)&gt;=189,ROW(D226)&lt;=218),"","☐ XL" &amp;
IF(INT((ROW(D226)-10)/30)+1=1,"STEM","")&amp;
IF(INT((ROW(D226)-10)/30)+1=2,"Cell","")&amp;
IF(INT((ROW(D226)-10)/30)+1=3,"Rhizo","")&amp;
IF(INT((ROW(D226)-10)/30)+1=4,"RhizoT","")&amp;
IF(INT((ROW(D226)-10)/30)+1=5,"Folia","")&amp;
IF(INT((ROW(D226)-10)/30)+1=6,"Seedle","")&amp;
IF(INT((ROW(D226)-10)/30)+1=7,"Cam","")&amp;
IF(INT((ROW(D226)-10)/30)+1=8,"Scanopy","") &amp; ".xls")</f>
        <v>☐ XLScanopy.xls</v>
      </c>
      <c r="E226" s="507" t="s">
        <v>309</v>
      </c>
      <c r="F226" s="508" t="s">
        <v>159</v>
      </c>
      <c r="G226" s="507" t="str">
        <f xml:space="preserve"> IF(N("If it is Cam, Do not Show XL")+AND(ROW(G226)&gt;=189,ROW(G226)&lt;=218),"","☐ XL Man")</f>
        <v>☐ XL Man</v>
      </c>
      <c r="H226" s="508" t="s">
        <v>290</v>
      </c>
      <c r="I226" s="395" t="s">
        <v>284</v>
      </c>
      <c r="J226" s="508" t="str">
        <f>IF(N("Si OR dessous = vrai, pas de box")+OR(
N("1 OR Tron ou CELL")+OR(AND(ROW(E226)&gt;=39,ROW(E226)&lt;=68),AND(ROW(E226)&gt;=99,ROW(E226)&lt;=128)),
N("2 Pas de système scanopy and range opy")+AND(ROW(E226)&gt;=219,ROW(E226)&lt;=248,SCANOPY_N_System&lt;2),
N("3 Avec LC")&amp;IF(ISERROR(LEFT(D225,SEARCH("00",D225)-3)),"",LEFT(D225,SEARCH("00",D225)-3))="LC"),"","☐ ")
&amp;
IF(N("If it's OPY, put OMount Manual instead")+
AND(ROW(D226)&gt;=219,ROW(D226)&lt;=248),
IF(SCANOPY_N_System&gt;1,
IF(SCANOPY_IndexScanner=1,"α" &amp; SCANOPY_CameraModel,SCANOPY_CameraModel_Mini) &amp; " Man",""),
IF(N("If it is Cell or Tron, Do not Show Scanner related items+No Video if LC")+OR(
AND(ROW(E226)&gt;=39,ROW(E226)&lt;=68),
AND(ROW(E226)&gt;=99,ROW(E226)&lt;=128)),
    "", IF(1=N("Si système a un scanner différent du Scanner populaire alors différent, sinon Scanner populaire")+AND(NOT(ISERROR(SEARCH("System",D225))),LEFT(D225,2)&lt;&gt;LEFT(PROD_MostPopularScanner,2)),
LEFT(D225,SEARCH("00",D225)-3),
PROD_MostPopularScanner) &amp; " Install Man"))</f>
        <v/>
      </c>
      <c r="K226" s="507" t="str">
        <f>IF(N("If it is Cell or Tron or OPY, Do not Show Twain")+OR(AND(ROW(K226)&gt;=39,ROW(K226)&lt;=68),AND(ROW(K226)&gt;=99,ROW(K226)&lt;=128),AND(ROW(J226)&gt;=219,ROW(J226)&lt;=248)),"","☐ TWAIN")</f>
        <v/>
      </c>
      <c r="L226" s="508" t="str">
        <f>IF(N("Si OR dessous = vrai, pas de box")+OR(
N("1 OR Dendro+CELL, Tron+Folia,Cam")+OR(
AND(ROW(K226)&gt;=9,ROW(K226)&lt;=68),
AND(ROW(K226)&gt;=99,ROW(K226)&lt;=158),
AND(ROW(K226)&gt;=189,ROW(K226)&lt;=218)),
N("2 Pas de système scanopy and range opy")+AND(ROW(K226)&gt;=219,ROW(K226)&lt;=248,SCANOPY_N_System&lt;2),
N("3 Avec LC")&amp;IF(ISERROR(LEFT(J225,SEARCH("00",J225)-3)),"",LEFT(J225,SEARCH("00",J225)-3))="LC"),"","☐ ")
&amp;
IF(N("If it's OPY, put OMount Manual instead")+
AND(ROW(J226)&gt;=219,ROW(J226)&lt;=248),
IF(SCANOPY_N_System&gt;1,"OMount Man",""),
IF(N("If it is Dendro+CELL, Tron+Folia or Cam, Do not Show Scanner related items+No Video if LC")+OR(
AND(ROW(K226)&gt;=9,ROW(K226)&lt;=68),
AND(ROW(K226)&gt;=99,ROW(K226)&lt;=158),
AND(ROW(K226)&gt;=189,ROW(K226)&lt;=218),
IF(ISERROR(LEFT(J225,SEARCH("00",J225)-3)),"",LEFT(J225,SEARCH("00",J225)-3))="LC"),
    "", "Video " &amp; IF(1=N("Si système a un scanner différent du Scanner populaire alors différent, sinon Scanner populaire")+AND(NOT(ISERROR(SEARCH("System",J225))),LEFT(J225,2)&lt;&gt;LEFT(PROD_MostPopularScanner,2)),
LEFT(J225,SEARCH("00",J225)-3),
PROD_MostPopularScanner) &amp; " Install"))</f>
        <v/>
      </c>
      <c r="M226" s="507" t="str">
        <f>IF(N("If it is Dendro or Tron, Do not Show Color Analysis Video")+
OR(AND(ROW(L226)&gt;=9,ROW(L226)&lt;=38),
AND(ROW(L226)&gt;=99,ROW(L226)&lt;=128)), "","☐ Video ClrAna")</f>
        <v>☐ Video ClrAna</v>
      </c>
      <c r="N226" s="508" t="str">
        <f>IF(OR(INT((ROW(D226)-10)/30)+1=2,INT((ROW(D226)-10)/30)+1=4),"","☐ ")&amp;
IF(INT((ROW(D226)-10)/30)+1=1,"Scanner.cal","")&amp;
IF(INT((ROW(D226)-10)/30)+1=2,"","")&amp;
IF(INT((ROW(D226)-10)/30)+1=3,"Scanner.cal","")&amp;
IF(INT((ROW(D226)-10)/30)+1=4,"","")&amp;
IF(INT((ROW(D226)-10)/30)+1=5,"Scanner.cal","")&amp;
IF(INT((ROW(D226)-10)/30)+1=6,"Scanner.cal","")&amp;
IF(INT((ROW(D226)-10)/30)+1=7,"Scanner.cal","")&amp;
IF(INT((ROW(D226)-10)/30)+1=8,IF(SCANOPY_Camera, "Indiv", "Gen")&amp; " Lens.cal","")</f>
        <v>☐ Indiv Lens.cal</v>
      </c>
      <c r="O226" s="395" t="str">
        <f>IF(AND(ROW(L226)&gt;=9,ROW(L226)&lt;=38),"☐ RegentTarget.blu","")</f>
        <v/>
      </c>
      <c r="P226" s="302"/>
      <c r="Q226" s="302"/>
    </row>
    <row r="227" spans="1:17" ht="24" customHeight="1" x14ac:dyDescent="0.2">
      <c r="A227" s="596" t="s">
        <v>269</v>
      </c>
      <c r="B227" s="311" t="s">
        <v>269</v>
      </c>
      <c r="C227" s="395" t="s">
        <v>159</v>
      </c>
      <c r="D227" s="395" t="str">
        <f xml:space="preserve"> IF(N("If it is Cam, Do not Show XL")+AND(ROW(D227)&gt;=189,ROW(D227)&lt;=218),"","☐ XL Man")</f>
        <v>☐ XL Man</v>
      </c>
      <c r="E227" s="570" t="str">
        <f>IF(N("Si OR dessous = vrai, pas de box")+OR(
N("1 OR Tron ou CELL")+OR(AND(ROW(K226)&gt;=39,ROW(K226)&lt;=68),AND(ROW(K226)&gt;=99,ROW(K226)&lt;=128)),
N("2 Pas de système scanopy and range opy")+AND(ROW(K226)&gt;=219,ROW(K226)&lt;=248,SCANOPY_N_System&lt;2),
N("3 Avec LC")&amp;IF(ISERROR(LEFT(J225,SEARCH("00",J225)-3)),"",LEFT(J225,SEARCH("00",J225)-3))="LC"),"","☐ ")
&amp;
IF(N("If it's OPY, put OMount Manual instead")+
AND(ROW(J226)&gt;=219,ROW(J226)&lt;=248),
IF(SCANOPY_N_System&gt;1,"OMount Man",""),
IF(N("If it is Cell or Tron, Do not Show Scanner related items")+OR(
AND(ROW(K226)&gt;=39,ROW(K226)&lt;=68),
AND(ROW(K226)&gt;=99,ROW(K226)&lt;=128)),
    "", IF(1=N("Si système a un scanner différent du Scanner populaire alors différent, sinon Scanner populaire")+AND(NOT(ISERROR(SEARCH("System",J225))),LEFT(J225,2)&lt;&gt;LEFT(PROD_MostPopularScanner,2)),
LEFT(J225,SEARCH("00",J225)-3),
PROD_MostPopularScanner) &amp; " Install Man"))</f>
        <v/>
      </c>
      <c r="F227" s="509" t="s">
        <v>285</v>
      </c>
      <c r="G227" s="395" t="s">
        <v>284</v>
      </c>
      <c r="H227" s="572" t="s">
        <v>260</v>
      </c>
      <c r="I227" s="510"/>
      <c r="J227" s="395" t="s">
        <v>160</v>
      </c>
      <c r="K227" s="353"/>
      <c r="L227" s="572" t="s">
        <v>734</v>
      </c>
      <c r="M227" s="395"/>
      <c r="N227" s="509"/>
      <c r="O227" s="395"/>
      <c r="P227" s="302"/>
      <c r="Q227" s="302"/>
    </row>
    <row r="228" spans="1:17" ht="16.25" customHeight="1" x14ac:dyDescent="0.2">
      <c r="A228" s="555"/>
      <c r="B228" s="385"/>
      <c r="C228" s="834" t="str">
        <f>IF((SCANOPY_N_UpgradeUpdate + SCANOPY_N_Software ) = 2,"",LEFT(INDEX(SCANOPY_SoftwareFullNames,SCANOPY_IndexSoftware),FIND(" ",INDEX(SCANOPY_SoftwareFullNames,SCANOPY_IndexSoftware),FIND(" ",INDEX(SCANOPY_SoftwareFullNames,SCANOPY_IndexSoftware))+1)) &amp;
SCANOPY_YearMostRecent )</f>
        <v/>
      </c>
      <c r="D228" s="834"/>
      <c r="E228" s="393"/>
      <c r="F228" s="393"/>
      <c r="G228" s="364" t="str">
        <f>IF(SCANOPY_OptionXL*(SCANOPY_N_Software+SCANOPY_N_UpgradeUpdate-2)&gt;=((ROW(G228)-ROW($G$219))/4+1),"XLSCANOPY "&amp; SCANOPY_YearMostRecent,IF(SCANOPY_Option1*(SCANOPY_N_Software-1)&gt;=((ROW(G228)-ROW($G$219))/4+1),"XLSCANOPY Mini "&amp; SCANOPY_YearMostRecent,""))</f>
        <v/>
      </c>
      <c r="H228" s="351"/>
      <c r="I228" s="351"/>
      <c r="J228" s="364" t="str">
        <f>IF(SCANOPY_N_System-1&gt;=((ROW(G228)-ROW($G$219))/4+1),IF(Francais,"Système","")&amp;IF(SCANOPY_IndexScanner=1," 24 MP DSLR"," 24 MP Mini Point&amp;Shoot")&amp;IF(Francais,""," System"),
IF(AND(SCANOPY_N_Software&gt;SCANOPY_N_System,SCANOPY_N_Software-1&gt;((ROW(G228)-ROW($G$219))/4+1)),IF(N_SystemTotal=0,"Software Only",IF(N_STDScanners+N_LAScanners+N_LCScanners=0,"Software Sans Scanner","Software Avec Scanner")),
IF(SCANOPY_N_UpgradeUpdate-1&gt;=((ROW(G228)-ROW($G$219))/4+1)-(MAX(SCANOPY_N_System,SCANOPY_N_Software)-1),"Update","")))</f>
        <v/>
      </c>
      <c r="K228" s="351"/>
      <c r="L228" s="350"/>
      <c r="M228" s="350"/>
      <c r="N228" s="350"/>
      <c r="O228" s="302"/>
      <c r="P228" s="302"/>
      <c r="Q228" s="302"/>
    </row>
    <row r="229" spans="1:17" ht="24" customHeight="1" x14ac:dyDescent="0.2">
      <c r="A229" s="596" t="s">
        <v>268</v>
      </c>
      <c r="B229" s="375" t="s">
        <v>268</v>
      </c>
      <c r="C229" s="507" t="str">
        <f>"☐☐ Win" &amp;
IF(INT((ROW(D229)-10)/30)+1=1,"DEN","")&amp;
IF(INT((ROW(D229)-10)/30)+1=2,"CEL","")&amp;
IF(INT((ROW(D229)-10)/30)+1=3,"RHI","")&amp;
IF(INT((ROW(D229)-10)/30)+1=4,"RT","")&amp;
IF(INT((ROW(D229)-10)/30)+1=5,"FOL","")&amp;
IF(INT((ROW(D229)-10)/30)+1=6,"SEE","")&amp;
IF(INT((ROW(D229)-10)/30)+1=7,"CAM","")&amp;
IF(INT((ROW(D229)-10)/30)+1=8,"SCA","") &amp; ".exe"</f>
        <v>☐☐ WinSCA.exe</v>
      </c>
      <c r="D229" s="507" t="str">
        <f xml:space="preserve"> IF(N("If it is Cam, Do not Show XL")+AND(ROW(D229)&gt;=189,ROW(D229)&lt;=218),"","☐ XL" &amp;
IF(INT((ROW(D229)-10)/30)+1=1,"STEM","")&amp;
IF(INT((ROW(D229)-10)/30)+1=2,"Cell","")&amp;
IF(INT((ROW(D229)-10)/30)+1=3,"Rhizo","")&amp;
IF(INT((ROW(D229)-10)/30)+1=4,"RhizoT","")&amp;
IF(INT((ROW(D229)-10)/30)+1=5,"Folia","")&amp;
IF(INT((ROW(D229)-10)/30)+1=6,"Seedle","")&amp;
IF(INT((ROW(D229)-10)/30)+1=7,"Cam","")&amp;
IF(INT((ROW(D229)-10)/30)+1=8,"Scanopy","") &amp; ".xls")</f>
        <v>☐ XLScanopy.xls</v>
      </c>
      <c r="E229" s="507" t="s">
        <v>309</v>
      </c>
      <c r="F229" s="508" t="s">
        <v>159</v>
      </c>
      <c r="G229" s="507" t="str">
        <f xml:space="preserve"> IF(N("If it is Cam, Do not Show XL")+AND(ROW(G229)&gt;=189,ROW(G229)&lt;=218),"","☐ XL Man")</f>
        <v>☐ XL Man</v>
      </c>
      <c r="H229" s="508" t="s">
        <v>290</v>
      </c>
      <c r="I229" s="395" t="s">
        <v>284</v>
      </c>
      <c r="J229" s="508" t="str">
        <f>IF(N("Si OR dessous = vrai, pas de box")+OR(
N("1 OR Tron ou CELL")+OR(AND(ROW(E229)&gt;=39,ROW(E229)&lt;=68),AND(ROW(E229)&gt;=99,ROW(E229)&lt;=128)),
N("2 Pas de système scanopy and range opy")+AND(ROW(E229)&gt;=219,ROW(E229)&lt;=248,SCANOPY_N_System&lt;2),
N("3 Avec LC")&amp;IF(ISERROR(LEFT(D228,SEARCH("00",D228)-3)),"",LEFT(D228,SEARCH("00",D228)-3))="LC"),"","☐ ")
&amp;
IF(N("If it's OPY, put OMount Manual instead")+
AND(ROW(D229)&gt;=219,ROW(D229)&lt;=248),
IF(SCANOPY_N_System&gt;1,
IF(SCANOPY_IndexScanner=1,"α" &amp; SCANOPY_CameraModel,SCANOPY_CameraModel_Mini) &amp; " Man",""),
IF(N("If it is Cell or Tron, Do not Show Scanner related items+No Video if LC")+OR(
AND(ROW(E229)&gt;=39,ROW(E229)&lt;=68),
AND(ROW(E229)&gt;=99,ROW(E229)&lt;=128)),
    "", IF(1=N("Si système a un scanner différent du Scanner populaire alors différent, sinon Scanner populaire")+AND(NOT(ISERROR(SEARCH("System",D228))),LEFT(D228,2)&lt;&gt;LEFT(PROD_MostPopularScanner,2)),
LEFT(D228,SEARCH("00",D228)-3),
PROD_MostPopularScanner) &amp; " Install Man"))</f>
        <v/>
      </c>
      <c r="K229" s="507" t="str">
        <f>IF(N("If it is Cell or Tron or OPY, Do not Show Twain")+OR(AND(ROW(K229)&gt;=39,ROW(K229)&lt;=68),AND(ROW(K229)&gt;=99,ROW(K229)&lt;=128),AND(ROW(J229)&gt;=219,ROW(J229)&lt;=248)),"","☐ TWAIN")</f>
        <v/>
      </c>
      <c r="L229" s="508" t="str">
        <f>IF(N("Si OR dessous = vrai, pas de box")+OR(
N("1 OR Dendro+CELL, Tron+Folia,Cam")+OR(
AND(ROW(K229)&gt;=9,ROW(K229)&lt;=68),
AND(ROW(K229)&gt;=99,ROW(K229)&lt;=158),
AND(ROW(K229)&gt;=189,ROW(K229)&lt;=218)),
N("2 Pas de système scanopy and range opy")+AND(ROW(K229)&gt;=219,ROW(K229)&lt;=248,SCANOPY_N_System&lt;2),
N("3 Avec LC")&amp;IF(ISERROR(LEFT(J228,SEARCH("00",J228)-3)),"",LEFT(J228,SEARCH("00",J228)-3))="LC"),"","☐ ")
&amp;
IF(N("If it's OPY, put OMount Manual instead")+
AND(ROW(J229)&gt;=219,ROW(J229)&lt;=248),
IF(SCANOPY_N_System&gt;1,"OMount Man",""),
IF(N("If it is Dendro+CELL, Tron+Folia or Cam, Do not Show Scanner related items+No Video if LC")+OR(
AND(ROW(K229)&gt;=9,ROW(K229)&lt;=68),
AND(ROW(K229)&gt;=99,ROW(K229)&lt;=158),
AND(ROW(K229)&gt;=189,ROW(K229)&lt;=218),
IF(ISERROR(LEFT(J228,SEARCH("00",J228)-3)),"",LEFT(J228,SEARCH("00",J228)-3))="LC"),
    "", "Video " &amp; IF(1=N("Si système a un scanner différent du Scanner populaire alors différent, sinon Scanner populaire")+AND(NOT(ISERROR(SEARCH("System",J228))),LEFT(J228,2)&lt;&gt;LEFT(PROD_MostPopularScanner,2)),
LEFT(J228,SEARCH("00",J228)-3),
PROD_MostPopularScanner) &amp; " Install"))</f>
        <v/>
      </c>
      <c r="M229" s="507" t="str">
        <f>IF(N("If it is Dendro or Tron, Do not Show Color Analysis Video")+
OR(AND(ROW(L229)&gt;=9,ROW(L229)&lt;=38),
AND(ROW(L229)&gt;=99,ROW(L229)&lt;=128)), "","☐ Video ClrAna")</f>
        <v>☐ Video ClrAna</v>
      </c>
      <c r="N229" s="508" t="str">
        <f>IF(OR(INT((ROW(D229)-10)/30)+1=2,INT((ROW(D229)-10)/30)+1=4),"","☐ ")&amp;
IF(INT((ROW(D229)-10)/30)+1=1,"Scanner.cal","")&amp;
IF(INT((ROW(D229)-10)/30)+1=2,"","")&amp;
IF(INT((ROW(D229)-10)/30)+1=3,"Scanner.cal","")&amp;
IF(INT((ROW(D229)-10)/30)+1=4,"","")&amp;
IF(INT((ROW(D229)-10)/30)+1=5,"Scanner.cal","")&amp;
IF(INT((ROW(D229)-10)/30)+1=6,"Scanner.cal","")&amp;
IF(INT((ROW(D229)-10)/30)+1=7,"Scanner.cal","")&amp;
IF(INT((ROW(D229)-10)/30)+1=8,IF(SCANOPY_Camera, "Indiv", "Gen")&amp; " Lens.cal","")</f>
        <v>☐ Indiv Lens.cal</v>
      </c>
      <c r="O229" s="395" t="str">
        <f>IF(AND(ROW(L229)&gt;=9,ROW(L229)&lt;=38),"☐ RegentTarget.blu","")</f>
        <v/>
      </c>
      <c r="P229" s="302"/>
      <c r="Q229" s="302"/>
    </row>
    <row r="230" spans="1:17" ht="24" customHeight="1" x14ac:dyDescent="0.2">
      <c r="A230" s="596" t="s">
        <v>269</v>
      </c>
      <c r="B230" s="311" t="s">
        <v>269</v>
      </c>
      <c r="C230" s="395" t="s">
        <v>159</v>
      </c>
      <c r="D230" s="395" t="str">
        <f xml:space="preserve"> IF(N("If it is Cam, Do not Show XL")+AND(ROW(D230)&gt;=189,ROW(D230)&lt;=218),"","☐ XL Man")</f>
        <v>☐ XL Man</v>
      </c>
      <c r="E230" s="570" t="str">
        <f>IF(N("Si OR dessous = vrai, pas de box")+OR(
N("1 OR Tron ou CELL")+OR(AND(ROW(K229)&gt;=39,ROW(K229)&lt;=68),AND(ROW(K229)&gt;=99,ROW(K229)&lt;=128)),
N("2 Pas de système scanopy and range opy")+AND(ROW(K229)&gt;=219,ROW(K229)&lt;=248,SCANOPY_N_System&lt;2),
N("3 Avec LC")&amp;IF(ISERROR(LEFT(J228,SEARCH("00",J228)-3)),"",LEFT(J228,SEARCH("00",J228)-3))="LC"),"","☐ ")
&amp;
IF(N("If it's OPY, put OMount Manual instead")+
AND(ROW(J229)&gt;=219,ROW(J229)&lt;=248),
IF(SCANOPY_N_System&gt;1,"OMount Man",""),
IF(N("If it is Cell or Tron, Do not Show Scanner related items")+OR(
AND(ROW(K229)&gt;=39,ROW(K229)&lt;=68),
AND(ROW(K229)&gt;=99,ROW(K229)&lt;=128)),
    "", IF(1=N("Si système a un scanner différent du Scanner populaire alors différent, sinon Scanner populaire")+AND(NOT(ISERROR(SEARCH("System",J228))),LEFT(J228,2)&lt;&gt;LEFT(PROD_MostPopularScanner,2)),
LEFT(J228,SEARCH("00",J228)-3),
PROD_MostPopularScanner) &amp; " Install Man"))</f>
        <v/>
      </c>
      <c r="F230" s="509" t="s">
        <v>285</v>
      </c>
      <c r="G230" s="395" t="s">
        <v>284</v>
      </c>
      <c r="H230" s="572" t="s">
        <v>260</v>
      </c>
      <c r="I230" s="510"/>
      <c r="J230" s="395" t="s">
        <v>160</v>
      </c>
      <c r="K230" s="353"/>
      <c r="L230" s="572" t="s">
        <v>734</v>
      </c>
      <c r="M230" s="395"/>
      <c r="N230" s="509"/>
      <c r="O230" s="395"/>
      <c r="P230" s="302"/>
      <c r="Q230" s="302"/>
    </row>
    <row r="231" spans="1:17" ht="16.25" customHeight="1" x14ac:dyDescent="0.2">
      <c r="A231" s="555"/>
      <c r="B231" s="385"/>
      <c r="C231" s="834" t="str">
        <f>IF((SCANOPY_N_UpgradeUpdate + SCANOPY_N_Software ) = 2,"",LEFT(INDEX(SCANOPY_SoftwareFullNames,SCANOPY_IndexSoftware),FIND(" ",INDEX(SCANOPY_SoftwareFullNames,SCANOPY_IndexSoftware),FIND(" ",INDEX(SCANOPY_SoftwareFullNames,SCANOPY_IndexSoftware))+1)) &amp;
SCANOPY_YearMostRecent )</f>
        <v/>
      </c>
      <c r="D231" s="834"/>
      <c r="E231" s="393"/>
      <c r="F231" s="393"/>
      <c r="G231" s="364" t="str">
        <f>IF(SCANOPY_OptionXL*(SCANOPY_N_Software+SCANOPY_N_UpgradeUpdate-2)&gt;=((ROW(G231)-ROW($G$219))/4+1),"XLSCANOPY "&amp; SCANOPY_YearMostRecent,IF(SCANOPY_Option1*(SCANOPY_N_Software-1)&gt;=((ROW(G231)-ROW($G$219))/4+1),"XLSCANOPY Mini "&amp; SCANOPY_YearMostRecent,""))</f>
        <v/>
      </c>
      <c r="H231" s="351"/>
      <c r="I231" s="351"/>
      <c r="J231" s="364" t="str">
        <f>IF(SCANOPY_N_System-1&gt;=((ROW(G231)-ROW($G$219))/4+1),IF(Francais,"Système","")&amp;IF(SCANOPY_IndexScanner=1," 24 MP DSLR"," 24 MP Mini Point&amp;Shoot")&amp;IF(Francais,""," System"),
IF(AND(SCANOPY_N_Software&gt;SCANOPY_N_System,SCANOPY_N_Software-1&gt;((ROW(G231)-ROW($G$219))/4+1)),IF(N_SystemTotal=0,"Software Only",IF(N_STDScanners+N_LAScanners+N_LCScanners=0,"Software Sans Scanner","Software Avec Scanner")),
IF(SCANOPY_N_UpgradeUpdate-1&gt;=((ROW(G231)-ROW($G$219))/4+1)-(MAX(SCANOPY_N_System,SCANOPY_N_Software)-1),"Update","")))</f>
        <v/>
      </c>
      <c r="K231" s="351"/>
      <c r="L231" s="350"/>
      <c r="M231" s="350"/>
      <c r="N231" s="350"/>
      <c r="O231" s="302"/>
      <c r="P231" s="302"/>
      <c r="Q231" s="302"/>
    </row>
    <row r="232" spans="1:17" ht="24" customHeight="1" x14ac:dyDescent="0.2">
      <c r="A232" s="596" t="s">
        <v>268</v>
      </c>
      <c r="B232" s="375" t="s">
        <v>268</v>
      </c>
      <c r="C232" s="507" t="str">
        <f>"☐☐ Win" &amp;
IF(INT((ROW(D232)-10)/30)+1=1,"DEN","")&amp;
IF(INT((ROW(D232)-10)/30)+1=2,"CEL","")&amp;
IF(INT((ROW(D232)-10)/30)+1=3,"RHI","")&amp;
IF(INT((ROW(D232)-10)/30)+1=4,"RT","")&amp;
IF(INT((ROW(D232)-10)/30)+1=5,"FOL","")&amp;
IF(INT((ROW(D232)-10)/30)+1=6,"SEE","")&amp;
IF(INT((ROW(D232)-10)/30)+1=7,"CAM","")&amp;
IF(INT((ROW(D232)-10)/30)+1=8,"SCA","") &amp; ".exe"</f>
        <v>☐☐ WinSCA.exe</v>
      </c>
      <c r="D232" s="507" t="str">
        <f xml:space="preserve"> IF(N("If it is Cam, Do not Show XL")+AND(ROW(D232)&gt;=189,ROW(D232)&lt;=218),"","☐ XL" &amp;
IF(INT((ROW(D232)-10)/30)+1=1,"STEM","")&amp;
IF(INT((ROW(D232)-10)/30)+1=2,"Cell","")&amp;
IF(INT((ROW(D232)-10)/30)+1=3,"Rhizo","")&amp;
IF(INT((ROW(D232)-10)/30)+1=4,"RhizoT","")&amp;
IF(INT((ROW(D232)-10)/30)+1=5,"Folia","")&amp;
IF(INT((ROW(D232)-10)/30)+1=6,"Seedle","")&amp;
IF(INT((ROW(D232)-10)/30)+1=7,"Cam","")&amp;
IF(INT((ROW(D232)-10)/30)+1=8,"Scanopy","") &amp; ".xls")</f>
        <v>☐ XLScanopy.xls</v>
      </c>
      <c r="E232" s="507" t="s">
        <v>309</v>
      </c>
      <c r="F232" s="508" t="s">
        <v>159</v>
      </c>
      <c r="G232" s="507" t="str">
        <f xml:space="preserve"> IF(N("If it is Cam, Do not Show XL")+AND(ROW(G232)&gt;=189,ROW(G232)&lt;=218),"","☐ XL Man")</f>
        <v>☐ XL Man</v>
      </c>
      <c r="H232" s="508" t="s">
        <v>290</v>
      </c>
      <c r="I232" s="395" t="s">
        <v>284</v>
      </c>
      <c r="J232" s="508" t="str">
        <f>IF(N("Si OR dessous = vrai, pas de box")+OR(
N("1 OR Tron ou CELL")+OR(AND(ROW(E232)&gt;=39,ROW(E232)&lt;=68),AND(ROW(E232)&gt;=99,ROW(E232)&lt;=128)),
N("2 Pas de système scanopy and range opy")+AND(ROW(E232)&gt;=219,ROW(E232)&lt;=248,SCANOPY_N_System&lt;2),
N("3 Avec LC")&amp;IF(ISERROR(LEFT(D231,SEARCH("00",D231)-3)),"",LEFT(D231,SEARCH("00",D231)-3))="LC"),"","☐ ")
&amp;
IF(N("If it's OPY, put OMount Manual instead")+
AND(ROW(D232)&gt;=219,ROW(D232)&lt;=248),
IF(SCANOPY_N_System&gt;1,
IF(SCANOPY_IndexScanner=1,"α" &amp; SCANOPY_CameraModel,SCANOPY_CameraModel_Mini) &amp; " Man",""),
IF(N("If it is Cell or Tron, Do not Show Scanner related items+No Video if LC")+OR(
AND(ROW(E232)&gt;=39,ROW(E232)&lt;=68),
AND(ROW(E232)&gt;=99,ROW(E232)&lt;=128)),
    "", IF(1=N("Si système a un scanner différent du Scanner populaire alors différent, sinon Scanner populaire")+AND(NOT(ISERROR(SEARCH("System",D231))),LEFT(D231,2)&lt;&gt;LEFT(PROD_MostPopularScanner,2)),
LEFT(D231,SEARCH("00",D231)-3),
PROD_MostPopularScanner) &amp; " Install Man"))</f>
        <v/>
      </c>
      <c r="K232" s="507" t="str">
        <f>IF(N("If it is Cell or Tron or OPY, Do not Show Twain")+OR(AND(ROW(K232)&gt;=39,ROW(K232)&lt;=68),AND(ROW(K232)&gt;=99,ROW(K232)&lt;=128),AND(ROW(J232)&gt;=219,ROW(J232)&lt;=248)),"","☐ TWAIN")</f>
        <v/>
      </c>
      <c r="L232" s="508" t="str">
        <f>IF(N("Si OR dessous = vrai, pas de box")+OR(
N("1 OR Dendro+CELL, Tron+Folia,Cam")+OR(
AND(ROW(K232)&gt;=9,ROW(K232)&lt;=68),
AND(ROW(K232)&gt;=99,ROW(K232)&lt;=158),
AND(ROW(K232)&gt;=189,ROW(K232)&lt;=218)),
N("2 Pas de système scanopy and range opy")+AND(ROW(K232)&gt;=219,ROW(K232)&lt;=248,SCANOPY_N_System&lt;2),
N("3 Avec LC")&amp;IF(ISERROR(LEFT(J231,SEARCH("00",J231)-3)),"",LEFT(J231,SEARCH("00",J231)-3))="LC"),"","☐ ")
&amp;
IF(N("If it's OPY, put OMount Manual instead")+
AND(ROW(J232)&gt;=219,ROW(J232)&lt;=248),
IF(SCANOPY_N_System&gt;1,"OMount Man",""),
IF(N("If it is Dendro+CELL, Tron+Folia or Cam, Do not Show Scanner related items+No Video if LC")+OR(
AND(ROW(K232)&gt;=9,ROW(K232)&lt;=68),
AND(ROW(K232)&gt;=99,ROW(K232)&lt;=158),
AND(ROW(K232)&gt;=189,ROW(K232)&lt;=218),
IF(ISERROR(LEFT(J231,SEARCH("00",J231)-3)),"",LEFT(J231,SEARCH("00",J231)-3))="LC"),
    "", "Video " &amp; IF(1=N("Si système a un scanner différent du Scanner populaire alors différent, sinon Scanner populaire")+AND(NOT(ISERROR(SEARCH("System",J231))),LEFT(J231,2)&lt;&gt;LEFT(PROD_MostPopularScanner,2)),
LEFT(J231,SEARCH("00",J231)-3),
PROD_MostPopularScanner) &amp; " Install"))</f>
        <v/>
      </c>
      <c r="M232" s="507" t="str">
        <f>IF(N("If it is Dendro or Tron, Do not Show Color Analysis Video")+
OR(AND(ROW(L232)&gt;=9,ROW(L232)&lt;=38),
AND(ROW(L232)&gt;=99,ROW(L232)&lt;=128)), "","☐ Video ClrAna")</f>
        <v>☐ Video ClrAna</v>
      </c>
      <c r="N232" s="508" t="str">
        <f>IF(OR(INT((ROW(D232)-10)/30)+1=2,INT((ROW(D232)-10)/30)+1=4),"","☐ ")&amp;
IF(INT((ROW(D232)-10)/30)+1=1,"Scanner.cal","")&amp;
IF(INT((ROW(D232)-10)/30)+1=2,"","")&amp;
IF(INT((ROW(D232)-10)/30)+1=3,"Scanner.cal","")&amp;
IF(INT((ROW(D232)-10)/30)+1=4,"","")&amp;
IF(INT((ROW(D232)-10)/30)+1=5,"Scanner.cal","")&amp;
IF(INT((ROW(D232)-10)/30)+1=6,"Scanner.cal","")&amp;
IF(INT((ROW(D232)-10)/30)+1=7,"Scanner.cal","")&amp;
IF(INT((ROW(D232)-10)/30)+1=8,IF(SCANOPY_Camera, "Indiv", "Gen")&amp; " Lens.cal","")</f>
        <v>☐ Indiv Lens.cal</v>
      </c>
      <c r="O232" s="395" t="str">
        <f>IF(AND(ROW(L232)&gt;=9,ROW(L232)&lt;=38),"☐ RegentTarget.blu","")</f>
        <v/>
      </c>
      <c r="P232" s="302"/>
      <c r="Q232" s="302"/>
    </row>
    <row r="233" spans="1:17" ht="24" customHeight="1" x14ac:dyDescent="0.2">
      <c r="A233" s="596" t="s">
        <v>269</v>
      </c>
      <c r="B233" s="311" t="s">
        <v>269</v>
      </c>
      <c r="C233" s="395" t="s">
        <v>159</v>
      </c>
      <c r="D233" s="395" t="str">
        <f xml:space="preserve"> IF(N("If it is Cam, Do not Show XL")+AND(ROW(D233)&gt;=189,ROW(D233)&lt;=218),"","☐ XL Man")</f>
        <v>☐ XL Man</v>
      </c>
      <c r="E233" s="570" t="str">
        <f>IF(N("Si OR dessous = vrai, pas de box")+OR(
N("1 OR Tron ou CELL")+OR(AND(ROW(K232)&gt;=39,ROW(K232)&lt;=68),AND(ROW(K232)&gt;=99,ROW(K232)&lt;=128)),
N("2 Pas de système scanopy and range opy")+AND(ROW(K232)&gt;=219,ROW(K232)&lt;=248,SCANOPY_N_System&lt;2),
N("3 Avec LC")&amp;IF(ISERROR(LEFT(J231,SEARCH("00",J231)-3)),"",LEFT(J231,SEARCH("00",J231)-3))="LC"),"","☐ ")
&amp;
IF(N("If it's OPY, put OMount Manual instead")+
AND(ROW(J232)&gt;=219,ROW(J232)&lt;=248),
IF(SCANOPY_N_System&gt;1,"OMount Man",""),
IF(N("If it is Cell or Tron, Do not Show Scanner related items")+OR(
AND(ROW(K232)&gt;=39,ROW(K232)&lt;=68),
AND(ROW(K232)&gt;=99,ROW(K232)&lt;=128)),
    "", IF(1=N("Si système a un scanner différent du Scanner populaire alors différent, sinon Scanner populaire")+AND(NOT(ISERROR(SEARCH("System",J231))),LEFT(J231,2)&lt;&gt;LEFT(PROD_MostPopularScanner,2)),
LEFT(J231,SEARCH("00",J231)-3),
PROD_MostPopularScanner) &amp; " Install Man"))</f>
        <v/>
      </c>
      <c r="F233" s="509" t="s">
        <v>285</v>
      </c>
      <c r="G233" s="395" t="s">
        <v>284</v>
      </c>
      <c r="H233" s="572" t="s">
        <v>260</v>
      </c>
      <c r="I233" s="510"/>
      <c r="J233" s="395" t="s">
        <v>160</v>
      </c>
      <c r="K233" s="353"/>
      <c r="L233" s="572" t="s">
        <v>734</v>
      </c>
      <c r="M233" s="395"/>
      <c r="N233" s="509"/>
      <c r="O233" s="395"/>
      <c r="P233" s="302"/>
      <c r="Q233" s="302"/>
    </row>
    <row r="234" spans="1:17" ht="16.25" customHeight="1" x14ac:dyDescent="0.2">
      <c r="A234" s="555"/>
      <c r="B234" s="385"/>
      <c r="C234" s="834" t="str">
        <f>IF((SCANOPY_N_UpgradeUpdate + SCANOPY_N_Software ) = 2,"",LEFT(INDEX(SCANOPY_SoftwareFullNames,SCANOPY_IndexSoftware),FIND(" ",INDEX(SCANOPY_SoftwareFullNames,SCANOPY_IndexSoftware),FIND(" ",INDEX(SCANOPY_SoftwareFullNames,SCANOPY_IndexSoftware))+1)) &amp;
SCANOPY_YearMostRecent )</f>
        <v/>
      </c>
      <c r="D234" s="834"/>
      <c r="E234" s="393"/>
      <c r="F234" s="393"/>
      <c r="G234" s="364" t="str">
        <f>IF(SCANOPY_OptionXL*(SCANOPY_N_Software+SCANOPY_N_UpgradeUpdate-2)&gt;=((ROW(G234)-ROW($G$219))/4+1),"XLSCANOPY "&amp; SCANOPY_YearMostRecent,IF(SCANOPY_Option1*(SCANOPY_N_Software-1)&gt;=((ROW(G234)-ROW($G$219))/4+1),"XLSCANOPY Mini "&amp; SCANOPY_YearMostRecent,""))</f>
        <v/>
      </c>
      <c r="H234" s="351"/>
      <c r="I234" s="351"/>
      <c r="J234" s="364" t="str">
        <f>IF(SCANOPY_N_System-1&gt;=((ROW(G234)-ROW($G$219))/4+1),IF(Francais,"Système","")&amp;IF(SCANOPY_IndexScanner=1," 24 MP DSLR"," 24 MP Mini Point&amp;Shoot")&amp;IF(Francais,""," System"),
IF(AND(SCANOPY_N_Software&gt;SCANOPY_N_System,SCANOPY_N_Software-1&gt;((ROW(G234)-ROW($G$219))/4+1)),IF(N_SystemTotal=0,"Software Only",IF(N_STDScanners+N_LAScanners+N_LCScanners=0,"Software Sans Scanner","Software Avec Scanner")),
IF(SCANOPY_N_UpgradeUpdate-1&gt;=((ROW(G234)-ROW($G$219))/4+1)-(MAX(SCANOPY_N_System,SCANOPY_N_Software)-1),"Update","")))</f>
        <v/>
      </c>
      <c r="K234" s="351"/>
      <c r="L234" s="350"/>
      <c r="M234" s="350"/>
      <c r="N234" s="350"/>
      <c r="O234" s="302"/>
      <c r="P234" s="302"/>
      <c r="Q234" s="302"/>
    </row>
    <row r="235" spans="1:17" ht="24" customHeight="1" x14ac:dyDescent="0.2">
      <c r="A235" s="596" t="s">
        <v>268</v>
      </c>
      <c r="B235" s="375" t="s">
        <v>268</v>
      </c>
      <c r="C235" s="507" t="str">
        <f>"☐☐ Win" &amp;
IF(INT((ROW(D235)-10)/30)+1=1,"DEN","")&amp;
IF(INT((ROW(D235)-10)/30)+1=2,"CEL","")&amp;
IF(INT((ROW(D235)-10)/30)+1=3,"RHI","")&amp;
IF(INT((ROW(D235)-10)/30)+1=4,"RT","")&amp;
IF(INT((ROW(D235)-10)/30)+1=5,"FOL","")&amp;
IF(INT((ROW(D235)-10)/30)+1=6,"SEE","")&amp;
IF(INT((ROW(D235)-10)/30)+1=7,"CAM","")&amp;
IF(INT((ROW(D235)-10)/30)+1=8,"SCA","") &amp; ".exe"</f>
        <v>☐☐ WinSCA.exe</v>
      </c>
      <c r="D235" s="507" t="str">
        <f xml:space="preserve"> IF(N("If it is Cam, Do not Show XL")+AND(ROW(D235)&gt;=189,ROW(D235)&lt;=218),"","☐ XL" &amp;
IF(INT((ROW(D235)-10)/30)+1=1,"STEM","")&amp;
IF(INT((ROW(D235)-10)/30)+1=2,"Cell","")&amp;
IF(INT((ROW(D235)-10)/30)+1=3,"Rhizo","")&amp;
IF(INT((ROW(D235)-10)/30)+1=4,"RhizoT","")&amp;
IF(INT((ROW(D235)-10)/30)+1=5,"Folia","")&amp;
IF(INT((ROW(D235)-10)/30)+1=6,"Seedle","")&amp;
IF(INT((ROW(D235)-10)/30)+1=7,"Cam","")&amp;
IF(INT((ROW(D235)-10)/30)+1=8,"Scanopy","") &amp; ".xls")</f>
        <v>☐ XLScanopy.xls</v>
      </c>
      <c r="E235" s="507" t="s">
        <v>309</v>
      </c>
      <c r="F235" s="508" t="s">
        <v>159</v>
      </c>
      <c r="G235" s="507" t="str">
        <f xml:space="preserve"> IF(N("If it is Cam, Do not Show XL")+AND(ROW(G235)&gt;=189,ROW(G235)&lt;=218),"","☐ XL Man")</f>
        <v>☐ XL Man</v>
      </c>
      <c r="H235" s="508" t="s">
        <v>290</v>
      </c>
      <c r="I235" s="395" t="s">
        <v>284</v>
      </c>
      <c r="J235" s="508" t="str">
        <f>IF(N("Si OR dessous = vrai, pas de box")+OR(
N("1 OR Tron ou CELL")+OR(AND(ROW(E235)&gt;=39,ROW(E235)&lt;=68),AND(ROW(E235)&gt;=99,ROW(E235)&lt;=128)),
N("2 Pas de système scanopy and range opy")+AND(ROW(E235)&gt;=219,ROW(E235)&lt;=248,SCANOPY_N_System&lt;2),
N("3 Avec LC")&amp;IF(ISERROR(LEFT(D234,SEARCH("00",D234)-3)),"",LEFT(D234,SEARCH("00",D234)-3))="LC"),"","☐ ")
&amp;
IF(N("If it's OPY, put OMount Manual instead")+
AND(ROW(D235)&gt;=219,ROW(D235)&lt;=248),
IF(SCANOPY_N_System&gt;1,
IF(SCANOPY_IndexScanner=1,"α" &amp; SCANOPY_CameraModel,SCANOPY_CameraModel_Mini) &amp; " Man",""),
IF(N("If it is Cell or Tron, Do not Show Scanner related items+No Video if LC")+OR(
AND(ROW(E235)&gt;=39,ROW(E235)&lt;=68),
AND(ROW(E235)&gt;=99,ROW(E235)&lt;=128)),
    "", IF(1=N("Si système a un scanner différent du Scanner populaire alors différent, sinon Scanner populaire")+AND(NOT(ISERROR(SEARCH("System",D234))),LEFT(D234,2)&lt;&gt;LEFT(PROD_MostPopularScanner,2)),
LEFT(D234,SEARCH("00",D234)-3),
PROD_MostPopularScanner) &amp; " Install Man"))</f>
        <v/>
      </c>
      <c r="K235" s="507" t="str">
        <f>IF(N("If it is Cell or Tron or OPY, Do not Show Twain")+OR(AND(ROW(K235)&gt;=39,ROW(K235)&lt;=68),AND(ROW(K235)&gt;=99,ROW(K235)&lt;=128),AND(ROW(J235)&gt;=219,ROW(J235)&lt;=248)),"","☐ TWAIN")</f>
        <v/>
      </c>
      <c r="L235" s="508" t="str">
        <f>IF(N("Si OR dessous = vrai, pas de box")+OR(
N("1 OR Dendro+CELL, Tron+Folia,Cam")+OR(
AND(ROW(K235)&gt;=9,ROW(K235)&lt;=68),
AND(ROW(K235)&gt;=99,ROW(K235)&lt;=158),
AND(ROW(K235)&gt;=189,ROW(K235)&lt;=218)),
N("2 Pas de système scanopy and range opy")+AND(ROW(K235)&gt;=219,ROW(K235)&lt;=248,SCANOPY_N_System&lt;2),
N("3 Avec LC")&amp;IF(ISERROR(LEFT(J234,SEARCH("00",J234)-3)),"",LEFT(J234,SEARCH("00",J234)-3))="LC"),"","☐ ")
&amp;
IF(N("If it's OPY, put OMount Manual instead")+
AND(ROW(J235)&gt;=219,ROW(J235)&lt;=248),
IF(SCANOPY_N_System&gt;1,"OMount Man",""),
IF(N("If it is Dendro+CELL, Tron+Folia or Cam, Do not Show Scanner related items+No Video if LC")+OR(
AND(ROW(K235)&gt;=9,ROW(K235)&lt;=68),
AND(ROW(K235)&gt;=99,ROW(K235)&lt;=158),
AND(ROW(K235)&gt;=189,ROW(K235)&lt;=218),
IF(ISERROR(LEFT(J234,SEARCH("00",J234)-3)),"",LEFT(J234,SEARCH("00",J234)-3))="LC"),
    "", "Video " &amp; IF(1=N("Si système a un scanner différent du Scanner populaire alors différent, sinon Scanner populaire")+AND(NOT(ISERROR(SEARCH("System",J234))),LEFT(J234,2)&lt;&gt;LEFT(PROD_MostPopularScanner,2)),
LEFT(J234,SEARCH("00",J234)-3),
PROD_MostPopularScanner) &amp; " Install"))</f>
        <v/>
      </c>
      <c r="M235" s="507" t="str">
        <f>IF(N("If it is Dendro or Tron, Do not Show Color Analysis Video")+
OR(AND(ROW(L235)&gt;=9,ROW(L235)&lt;=38),
AND(ROW(L235)&gt;=99,ROW(L235)&lt;=128)), "","☐ Video ClrAna")</f>
        <v>☐ Video ClrAna</v>
      </c>
      <c r="N235" s="508" t="str">
        <f>IF(OR(INT((ROW(D235)-10)/30)+1=2,INT((ROW(D235)-10)/30)+1=4),"","☐ ")&amp;
IF(INT((ROW(D235)-10)/30)+1=1,"Scanner.cal","")&amp;
IF(INT((ROW(D235)-10)/30)+1=2,"","")&amp;
IF(INT((ROW(D235)-10)/30)+1=3,"Scanner.cal","")&amp;
IF(INT((ROW(D235)-10)/30)+1=4,"","")&amp;
IF(INT((ROW(D235)-10)/30)+1=5,"Scanner.cal","")&amp;
IF(INT((ROW(D235)-10)/30)+1=6,"Scanner.cal","")&amp;
IF(INT((ROW(D235)-10)/30)+1=7,"Scanner.cal","")&amp;
IF(INT((ROW(D235)-10)/30)+1=8,IF(SCANOPY_Camera, "Indiv", "Gen")&amp; " Lens.cal","")</f>
        <v>☐ Indiv Lens.cal</v>
      </c>
      <c r="O235" s="395" t="str">
        <f>IF(AND(ROW(L235)&gt;=9,ROW(L235)&lt;=38),"☐ RegentTarget.blu","")</f>
        <v/>
      </c>
      <c r="P235" s="302"/>
      <c r="Q235" s="302"/>
    </row>
    <row r="236" spans="1:17" ht="24" customHeight="1" x14ac:dyDescent="0.2">
      <c r="A236" s="596" t="s">
        <v>269</v>
      </c>
      <c r="B236" s="311" t="s">
        <v>269</v>
      </c>
      <c r="C236" s="395" t="s">
        <v>159</v>
      </c>
      <c r="D236" s="395" t="str">
        <f xml:space="preserve"> IF(N("If it is Cam, Do not Show XL")+AND(ROW(D236)&gt;=189,ROW(D236)&lt;=218),"","☐ XL Man")</f>
        <v>☐ XL Man</v>
      </c>
      <c r="E236" s="570" t="str">
        <f>IF(N("Si OR dessous = vrai, pas de box")+OR(
N("1 OR Tron ou CELL")+OR(AND(ROW(K235)&gt;=39,ROW(K235)&lt;=68),AND(ROW(K235)&gt;=99,ROW(K235)&lt;=128)),
N("2 Pas de système scanopy and range opy")+AND(ROW(K235)&gt;=219,ROW(K235)&lt;=248,SCANOPY_N_System&lt;2),
N("3 Avec LC")&amp;IF(ISERROR(LEFT(J234,SEARCH("00",J234)-3)),"",LEFT(J234,SEARCH("00",J234)-3))="LC"),"","☐ ")
&amp;
IF(N("If it's OPY, put OMount Manual instead")+
AND(ROW(J235)&gt;=219,ROW(J235)&lt;=248),
IF(SCANOPY_N_System&gt;1,"OMount Man",""),
IF(N("If it is Cell or Tron, Do not Show Scanner related items")+OR(
AND(ROW(K235)&gt;=39,ROW(K235)&lt;=68),
AND(ROW(K235)&gt;=99,ROW(K235)&lt;=128)),
    "", IF(1=N("Si système a un scanner différent du Scanner populaire alors différent, sinon Scanner populaire")+AND(NOT(ISERROR(SEARCH("System",J234))),LEFT(J234,2)&lt;&gt;LEFT(PROD_MostPopularScanner,2)),
LEFT(J234,SEARCH("00",J234)-3),
PROD_MostPopularScanner) &amp; " Install Man"))</f>
        <v/>
      </c>
      <c r="F236" s="509" t="s">
        <v>285</v>
      </c>
      <c r="G236" s="395" t="s">
        <v>284</v>
      </c>
      <c r="H236" s="572" t="s">
        <v>260</v>
      </c>
      <c r="I236" s="510"/>
      <c r="J236" s="395" t="s">
        <v>160</v>
      </c>
      <c r="K236" s="353"/>
      <c r="L236" s="572" t="s">
        <v>734</v>
      </c>
      <c r="M236" s="395"/>
      <c r="N236" s="509"/>
      <c r="O236" s="395"/>
      <c r="P236" s="302"/>
      <c r="Q236" s="302"/>
    </row>
    <row r="237" spans="1:17" ht="16.25" customHeight="1" x14ac:dyDescent="0.2">
      <c r="A237" s="555"/>
      <c r="B237" s="385"/>
      <c r="C237" s="834" t="str">
        <f>IF((SCANOPY_N_UpgradeUpdate + SCANOPY_N_Software ) = 2,"",LEFT(INDEX(SCANOPY_SoftwareFullNames,SCANOPY_IndexSoftware),FIND(" ",INDEX(SCANOPY_SoftwareFullNames,SCANOPY_IndexSoftware),FIND(" ",INDEX(SCANOPY_SoftwareFullNames,SCANOPY_IndexSoftware))+1)) &amp;
SCANOPY_YearMostRecent )</f>
        <v/>
      </c>
      <c r="D237" s="834"/>
      <c r="E237" s="393"/>
      <c r="F237" s="393"/>
      <c r="G237" s="364" t="str">
        <f>IF(SCANOPY_OptionXL*(SCANOPY_N_Software+SCANOPY_N_UpgradeUpdate-2)&gt;=((ROW(G237)-ROW($G$219))/4+1),"XLSCANOPY "&amp; SCANOPY_YearMostRecent,IF(SCANOPY_Option1*(SCANOPY_N_Software-1)&gt;=((ROW(G237)-ROW($G$219))/4+1),"XLSCANOPY Mini "&amp; SCANOPY_YearMostRecent,""))</f>
        <v/>
      </c>
      <c r="H237" s="351"/>
      <c r="I237" s="351"/>
      <c r="J237" s="364" t="str">
        <f>IF(SCANOPY_N_System-1&gt;=((ROW(G237)-ROW($G$219))/4+1),IF(Francais,"Système","")&amp;IF(SCANOPY_IndexScanner=1," 24 MP DSLR"," 24 MP Mini Point&amp;Shoot")&amp;IF(Francais,""," System"),
IF(AND(SCANOPY_N_Software&gt;SCANOPY_N_System,SCANOPY_N_Software-1&gt;((ROW(G237)-ROW($G$219))/4+1)),IF(N_SystemTotal=0,"Software Only",IF(N_STDScanners+N_LAScanners+N_LCScanners=0,"Software Sans Scanner","Software Avec Scanner")),
IF(SCANOPY_N_UpgradeUpdate-1&gt;=((ROW(G237)-ROW($G$219))/4+1)-(MAX(SCANOPY_N_System,SCANOPY_N_Software)-1),"Update","")))</f>
        <v/>
      </c>
      <c r="K237" s="351"/>
      <c r="L237" s="350"/>
      <c r="M237" s="350"/>
      <c r="N237" s="350"/>
      <c r="O237" s="302"/>
      <c r="P237" s="302"/>
      <c r="Q237" s="302"/>
    </row>
    <row r="238" spans="1:17" ht="24" customHeight="1" x14ac:dyDescent="0.2">
      <c r="A238" s="596" t="s">
        <v>268</v>
      </c>
      <c r="B238" s="375" t="s">
        <v>268</v>
      </c>
      <c r="C238" s="507" t="str">
        <f>"☐☐ Win" &amp;
IF(INT((ROW(D238)-10)/30)+1=1,"DEN","")&amp;
IF(INT((ROW(D238)-10)/30)+1=2,"CEL","")&amp;
IF(INT((ROW(D238)-10)/30)+1=3,"RHI","")&amp;
IF(INT((ROW(D238)-10)/30)+1=4,"RT","")&amp;
IF(INT((ROW(D238)-10)/30)+1=5,"FOL","")&amp;
IF(INT((ROW(D238)-10)/30)+1=6,"SEE","")&amp;
IF(INT((ROW(D238)-10)/30)+1=7,"CAM","")&amp;
IF(INT((ROW(D238)-10)/30)+1=8,"SCA","") &amp; ".exe"</f>
        <v>☐☐ WinSCA.exe</v>
      </c>
      <c r="D238" s="507" t="str">
        <f xml:space="preserve"> IF(N("If it is Cam, Do not Show XL")+AND(ROW(D238)&gt;=189,ROW(D238)&lt;=218),"","☐ XL" &amp;
IF(INT((ROW(D238)-10)/30)+1=1,"STEM","")&amp;
IF(INT((ROW(D238)-10)/30)+1=2,"Cell","")&amp;
IF(INT((ROW(D238)-10)/30)+1=3,"Rhizo","")&amp;
IF(INT((ROW(D238)-10)/30)+1=4,"RhizoT","")&amp;
IF(INT((ROW(D238)-10)/30)+1=5,"Folia","")&amp;
IF(INT((ROW(D238)-10)/30)+1=6,"Seedle","")&amp;
IF(INT((ROW(D238)-10)/30)+1=7,"Cam","")&amp;
IF(INT((ROW(D238)-10)/30)+1=8,"Scanopy","") &amp; ".xls")</f>
        <v>☐ XLScanopy.xls</v>
      </c>
      <c r="E238" s="507" t="s">
        <v>309</v>
      </c>
      <c r="F238" s="508" t="s">
        <v>159</v>
      </c>
      <c r="G238" s="507" t="str">
        <f xml:space="preserve"> IF(N("If it is Cam, Do not Show XL")+AND(ROW(G238)&gt;=189,ROW(G238)&lt;=218),"","☐ XL Man")</f>
        <v>☐ XL Man</v>
      </c>
      <c r="H238" s="508" t="s">
        <v>290</v>
      </c>
      <c r="I238" s="395" t="s">
        <v>284</v>
      </c>
      <c r="J238" s="508" t="str">
        <f>IF(N("Si OR dessous = vrai, pas de box")+OR(
N("1 OR Tron ou CELL")+OR(AND(ROW(E238)&gt;=39,ROW(E238)&lt;=68),AND(ROW(E238)&gt;=99,ROW(E238)&lt;=128)),
N("2 Pas de système scanopy and range opy")+AND(ROW(E238)&gt;=219,ROW(E238)&lt;=248,SCANOPY_N_System&lt;2),
N("3 Avec LC")&amp;IF(ISERROR(LEFT(D237,SEARCH("00",D237)-3)),"",LEFT(D237,SEARCH("00",D237)-3))="LC"),"","☐ ")
&amp;
IF(N("If it's OPY, put OMount Manual instead")+
AND(ROW(D238)&gt;=219,ROW(D238)&lt;=248),
IF(SCANOPY_N_System&gt;1,
IF(SCANOPY_IndexScanner=1,"α" &amp; SCANOPY_CameraModel,SCANOPY_CameraModel_Mini) &amp; " Man",""),
IF(N("If it is Cell or Tron, Do not Show Scanner related items+No Video if LC")+OR(
AND(ROW(E238)&gt;=39,ROW(E238)&lt;=68),
AND(ROW(E238)&gt;=99,ROW(E238)&lt;=128)),
    "", IF(1=N("Si système a un scanner différent du Scanner populaire alors différent, sinon Scanner populaire")+AND(NOT(ISERROR(SEARCH("System",D237))),LEFT(D237,2)&lt;&gt;LEFT(PROD_MostPopularScanner,2)),
LEFT(D237,SEARCH("00",D237)-3),
PROD_MostPopularScanner) &amp; " Install Man"))</f>
        <v/>
      </c>
      <c r="K238" s="507" t="str">
        <f>IF(N("If it is Cell or Tron or OPY, Do not Show Twain")+OR(AND(ROW(K238)&gt;=39,ROW(K238)&lt;=68),AND(ROW(K238)&gt;=99,ROW(K238)&lt;=128),AND(ROW(J238)&gt;=219,ROW(J238)&lt;=248)),"","☐ TWAIN")</f>
        <v/>
      </c>
      <c r="L238" s="508" t="str">
        <f>IF(N("Si OR dessous = vrai, pas de box")+OR(
N("1 OR Dendro+CELL, Tron+Folia,Cam")+OR(
AND(ROW(K238)&gt;=9,ROW(K238)&lt;=68),
AND(ROW(K238)&gt;=99,ROW(K238)&lt;=158),
AND(ROW(K238)&gt;=189,ROW(K238)&lt;=218)),
N("2 Pas de système scanopy and range opy")+AND(ROW(K238)&gt;=219,ROW(K238)&lt;=248,SCANOPY_N_System&lt;2),
N("3 Avec LC")&amp;IF(ISERROR(LEFT(J237,SEARCH("00",J237)-3)),"",LEFT(J237,SEARCH("00",J237)-3))="LC"),"","☐ ")
&amp;
IF(N("If it's OPY, put OMount Manual instead")+
AND(ROW(J238)&gt;=219,ROW(J238)&lt;=248),
IF(SCANOPY_N_System&gt;1,"OMount Man",""),
IF(N("If it is Dendro+CELL, Tron+Folia or Cam, Do not Show Scanner related items+No Video if LC")+OR(
AND(ROW(K238)&gt;=9,ROW(K238)&lt;=68),
AND(ROW(K238)&gt;=99,ROW(K238)&lt;=158),
AND(ROW(K238)&gt;=189,ROW(K238)&lt;=218),
IF(ISERROR(LEFT(J237,SEARCH("00",J237)-3)),"",LEFT(J237,SEARCH("00",J237)-3))="LC"),
    "", "Video " &amp; IF(1=N("Si système a un scanner différent du Scanner populaire alors différent, sinon Scanner populaire")+AND(NOT(ISERROR(SEARCH("System",J237))),LEFT(J237,2)&lt;&gt;LEFT(PROD_MostPopularScanner,2)),
LEFT(J237,SEARCH("00",J237)-3),
PROD_MostPopularScanner) &amp; " Install"))</f>
        <v/>
      </c>
      <c r="M238" s="507" t="str">
        <f>IF(N("If it is Dendro or Tron, Do not Show Color Analysis Video")+
OR(AND(ROW(L238)&gt;=9,ROW(L238)&lt;=38),
AND(ROW(L238)&gt;=99,ROW(L238)&lt;=128)), "","☐ Video ClrAna")</f>
        <v>☐ Video ClrAna</v>
      </c>
      <c r="N238" s="508" t="str">
        <f>IF(OR(INT((ROW(D238)-10)/30)+1=2,INT((ROW(D238)-10)/30)+1=4),"","☐ ")&amp;
IF(INT((ROW(D238)-10)/30)+1=1,"Scanner.cal","")&amp;
IF(INT((ROW(D238)-10)/30)+1=2,"","")&amp;
IF(INT((ROW(D238)-10)/30)+1=3,"Scanner.cal","")&amp;
IF(INT((ROW(D238)-10)/30)+1=4,"","")&amp;
IF(INT((ROW(D238)-10)/30)+1=5,"Scanner.cal","")&amp;
IF(INT((ROW(D238)-10)/30)+1=6,"Scanner.cal","")&amp;
IF(INT((ROW(D238)-10)/30)+1=7,"Scanner.cal","")&amp;
IF(INT((ROW(D238)-10)/30)+1=8,IF(SCANOPY_Camera, "Indiv", "Gen")&amp; " Lens.cal","")</f>
        <v>☐ Indiv Lens.cal</v>
      </c>
      <c r="O238" s="395" t="str">
        <f>IF(AND(ROW(L238)&gt;=9,ROW(L238)&lt;=38),"☐ RegentTarget.blu","")</f>
        <v/>
      </c>
      <c r="P238" s="302"/>
      <c r="Q238" s="302"/>
    </row>
    <row r="239" spans="1:17" ht="24" customHeight="1" x14ac:dyDescent="0.2">
      <c r="A239" s="596" t="s">
        <v>269</v>
      </c>
      <c r="B239" s="311" t="s">
        <v>269</v>
      </c>
      <c r="C239" s="395" t="s">
        <v>159</v>
      </c>
      <c r="D239" s="395" t="str">
        <f xml:space="preserve"> IF(N("If it is Cam, Do not Show XL")+AND(ROW(D239)&gt;=189,ROW(D239)&lt;=218),"","☐ XL Man")</f>
        <v>☐ XL Man</v>
      </c>
      <c r="E239" s="570" t="str">
        <f>IF(N("Si OR dessous = vrai, pas de box")+OR(
N("1 OR Tron ou CELL")+OR(AND(ROW(K238)&gt;=39,ROW(K238)&lt;=68),AND(ROW(K238)&gt;=99,ROW(K238)&lt;=128)),
N("2 Pas de système scanopy and range opy")+AND(ROW(K238)&gt;=219,ROW(K238)&lt;=248,SCANOPY_N_System&lt;2),
N("3 Avec LC")&amp;IF(ISERROR(LEFT(J237,SEARCH("00",J237)-3)),"",LEFT(J237,SEARCH("00",J237)-3))="LC"),"","☐ ")
&amp;
IF(N("If it's OPY, put OMount Manual instead")+
AND(ROW(J238)&gt;=219,ROW(J238)&lt;=248),
IF(SCANOPY_N_System&gt;1,"OMount Man",""),
IF(N("If it is Cell or Tron, Do not Show Scanner related items")+OR(
AND(ROW(K238)&gt;=39,ROW(K238)&lt;=68),
AND(ROW(K238)&gt;=99,ROW(K238)&lt;=128)),
    "", IF(1=N("Si système a un scanner différent du Scanner populaire alors différent, sinon Scanner populaire")+AND(NOT(ISERROR(SEARCH("System",J237))),LEFT(J237,2)&lt;&gt;LEFT(PROD_MostPopularScanner,2)),
LEFT(J237,SEARCH("00",J237)-3),
PROD_MostPopularScanner) &amp; " Install Man"))</f>
        <v/>
      </c>
      <c r="F239" s="509" t="s">
        <v>285</v>
      </c>
      <c r="G239" s="395" t="s">
        <v>284</v>
      </c>
      <c r="H239" s="572" t="s">
        <v>260</v>
      </c>
      <c r="I239" s="510"/>
      <c r="J239" s="395" t="s">
        <v>160</v>
      </c>
      <c r="K239" s="353"/>
      <c r="L239" s="572" t="s">
        <v>734</v>
      </c>
      <c r="M239" s="395"/>
      <c r="N239" s="509"/>
      <c r="O239" s="395"/>
      <c r="P239" s="302"/>
      <c r="Q239" s="302"/>
    </row>
    <row r="240" spans="1:17" ht="16.25" customHeight="1" x14ac:dyDescent="0.2">
      <c r="A240" s="555"/>
      <c r="B240" s="385"/>
      <c r="C240" s="834" t="str">
        <f>IF((SCANOPY_N_UpgradeUpdate + SCANOPY_N_Software ) = 2,"",LEFT(INDEX(SCANOPY_SoftwareFullNames,SCANOPY_IndexSoftware),FIND(" ",INDEX(SCANOPY_SoftwareFullNames,SCANOPY_IndexSoftware),FIND(" ",INDEX(SCANOPY_SoftwareFullNames,SCANOPY_IndexSoftware))+1)) &amp;
SCANOPY_YearMostRecent )</f>
        <v/>
      </c>
      <c r="D240" s="834"/>
      <c r="E240" s="393"/>
      <c r="F240" s="393"/>
      <c r="G240" s="364" t="str">
        <f>IF(SCANOPY_OptionXL*(SCANOPY_N_Software+SCANOPY_N_UpgradeUpdate-2)&gt;=((ROW(G240)-ROW($G$219))/4+1),"XLSCANOPY "&amp; SCANOPY_YearMostRecent,IF(SCANOPY_Option1*(SCANOPY_N_Software-1)&gt;=((ROW(G240)-ROW($G$219))/4+1),"XLSCANOPY Mini "&amp; SCANOPY_YearMostRecent,""))</f>
        <v/>
      </c>
      <c r="H240" s="351"/>
      <c r="I240" s="351"/>
      <c r="J240" s="364" t="str">
        <f>IF(SCANOPY_N_System-1&gt;=((ROW(G240)-ROW($G$219))/4+1),IF(Francais,"Système","")&amp;IF(SCANOPY_IndexScanner=1," 24 MP DSLR"," 24 MP Mini Point&amp;Shoot")&amp;IF(Francais,""," System"),
IF(AND(SCANOPY_N_Software&gt;SCANOPY_N_System,SCANOPY_N_Software-1&gt;((ROW(G240)-ROW($G$219))/4+1)),IF(N_SystemTotal=0,"Software Only",IF(N_STDScanners+N_LAScanners+N_LCScanners=0,"Software Sans Scanner","Software Avec Scanner")),
IF(SCANOPY_N_UpgradeUpdate-1&gt;=((ROW(G240)-ROW($G$219))/4+1)-(MAX(SCANOPY_N_System,SCANOPY_N_Software)-1),"Update","")))</f>
        <v/>
      </c>
      <c r="K240" s="351"/>
      <c r="L240" s="350"/>
      <c r="M240" s="350"/>
      <c r="N240" s="350"/>
      <c r="O240" s="302"/>
      <c r="P240" s="302"/>
      <c r="Q240" s="302"/>
    </row>
    <row r="241" spans="1:17" ht="24" customHeight="1" x14ac:dyDescent="0.2">
      <c r="A241" s="596" t="s">
        <v>268</v>
      </c>
      <c r="B241" s="375" t="s">
        <v>268</v>
      </c>
      <c r="C241" s="507" t="str">
        <f>"☐☐ Win" &amp;
IF(INT((ROW(D241)-10)/30)+1=1,"DEN","")&amp;
IF(INT((ROW(D241)-10)/30)+1=2,"CEL","")&amp;
IF(INT((ROW(D241)-10)/30)+1=3,"RHI","")&amp;
IF(INT((ROW(D241)-10)/30)+1=4,"RT","")&amp;
IF(INT((ROW(D241)-10)/30)+1=5,"FOL","")&amp;
IF(INT((ROW(D241)-10)/30)+1=6,"SEE","")&amp;
IF(INT((ROW(D241)-10)/30)+1=7,"CAM","")&amp;
IF(INT((ROW(D241)-10)/30)+1=8,"SCA","") &amp; ".exe"</f>
        <v>☐☐ WinSCA.exe</v>
      </c>
      <c r="D241" s="507" t="str">
        <f xml:space="preserve"> IF(N("If it is Cam, Do not Show XL")+AND(ROW(D241)&gt;=189,ROW(D241)&lt;=218),"","☐ XL" &amp;
IF(INT((ROW(D241)-10)/30)+1=1,"STEM","")&amp;
IF(INT((ROW(D241)-10)/30)+1=2,"Cell","")&amp;
IF(INT((ROW(D241)-10)/30)+1=3,"Rhizo","")&amp;
IF(INT((ROW(D241)-10)/30)+1=4,"RhizoT","")&amp;
IF(INT((ROW(D241)-10)/30)+1=5,"Folia","")&amp;
IF(INT((ROW(D241)-10)/30)+1=6,"Seedle","")&amp;
IF(INT((ROW(D241)-10)/30)+1=7,"Cam","")&amp;
IF(INT((ROW(D241)-10)/30)+1=8,"Scanopy","") &amp; ".xls")</f>
        <v>☐ XLScanopy.xls</v>
      </c>
      <c r="E241" s="507" t="s">
        <v>309</v>
      </c>
      <c r="F241" s="508" t="s">
        <v>159</v>
      </c>
      <c r="G241" s="507" t="str">
        <f xml:space="preserve"> IF(N("If it is Cam, Do not Show XL")+AND(ROW(G241)&gt;=189,ROW(G241)&lt;=218),"","☐ XL Man")</f>
        <v>☐ XL Man</v>
      </c>
      <c r="H241" s="508" t="s">
        <v>290</v>
      </c>
      <c r="I241" s="395" t="s">
        <v>284</v>
      </c>
      <c r="J241" s="508" t="str">
        <f>IF(N("Si OR dessous = vrai, pas de box")+OR(
N("1 OR Tron ou CELL")+OR(AND(ROW(E241)&gt;=39,ROW(E241)&lt;=68),AND(ROW(E241)&gt;=99,ROW(E241)&lt;=128)),
N("2 Pas de système scanopy and range opy")+AND(ROW(E241)&gt;=219,ROW(E241)&lt;=248,SCANOPY_N_System&lt;2),
N("3 Avec LC")&amp;IF(ISERROR(LEFT(D240,SEARCH("00",D240)-3)),"",LEFT(D240,SEARCH("00",D240)-3))="LC"),"","☐ ")
&amp;
IF(N("If it's OPY, put OMount Manual instead")+
AND(ROW(D241)&gt;=219,ROW(D241)&lt;=248),
IF(SCANOPY_N_System&gt;1,
IF(SCANOPY_IndexScanner=1,"α" &amp; SCANOPY_CameraModel,SCANOPY_CameraModel_Mini) &amp; " Man",""),
IF(N("If it is Cell or Tron, Do not Show Scanner related items+No Video if LC")+OR(
AND(ROW(E241)&gt;=39,ROW(E241)&lt;=68),
AND(ROW(E241)&gt;=99,ROW(E241)&lt;=128)),
    "", IF(1=N("Si système a un scanner différent du Scanner populaire alors différent, sinon Scanner populaire")+AND(NOT(ISERROR(SEARCH("System",D240))),LEFT(D240,2)&lt;&gt;LEFT(PROD_MostPopularScanner,2)),
LEFT(D240,SEARCH("00",D240)-3),
PROD_MostPopularScanner) &amp; " Install Man"))</f>
        <v/>
      </c>
      <c r="K241" s="507" t="str">
        <f>IF(N("If it is Cell or Tron or OPY, Do not Show Twain")+OR(AND(ROW(K241)&gt;=39,ROW(K241)&lt;=68),AND(ROW(K241)&gt;=99,ROW(K241)&lt;=128),AND(ROW(J241)&gt;=219,ROW(J241)&lt;=248)),"","☐ TWAIN")</f>
        <v/>
      </c>
      <c r="L241" s="508" t="str">
        <f>IF(N("Si OR dessous = vrai, pas de box")+OR(
N("1 OR Dendro+CELL, Tron+Folia,Cam")+OR(
AND(ROW(K241)&gt;=9,ROW(K241)&lt;=68),
AND(ROW(K241)&gt;=99,ROW(K241)&lt;=158),
AND(ROW(K241)&gt;=189,ROW(K241)&lt;=218)),
N("2 Pas de système scanopy and range opy")+AND(ROW(K241)&gt;=219,ROW(K241)&lt;=248,SCANOPY_N_System&lt;2),
N("3 Avec LC")&amp;IF(ISERROR(LEFT(J240,SEARCH("00",J240)-3)),"",LEFT(J240,SEARCH("00",J240)-3))="LC"),"","☐ ")
&amp;
IF(N("If it's OPY, put OMount Manual instead")+
AND(ROW(J241)&gt;=219,ROW(J241)&lt;=248),
IF(SCANOPY_N_System&gt;1,"OMount Man",""),
IF(N("If it is Dendro+CELL, Tron+Folia or Cam, Do not Show Scanner related items+No Video if LC")+OR(
AND(ROW(K241)&gt;=9,ROW(K241)&lt;=68),
AND(ROW(K241)&gt;=99,ROW(K241)&lt;=158),
AND(ROW(K241)&gt;=189,ROW(K241)&lt;=218),
IF(ISERROR(LEFT(J240,SEARCH("00",J240)-3)),"",LEFT(J240,SEARCH("00",J240)-3))="LC"),
    "", "Video " &amp; IF(1=N("Si système a un scanner différent du Scanner populaire alors différent, sinon Scanner populaire")+AND(NOT(ISERROR(SEARCH("System",J240))),LEFT(J240,2)&lt;&gt;LEFT(PROD_MostPopularScanner,2)),
LEFT(J240,SEARCH("00",J240)-3),
PROD_MostPopularScanner) &amp; " Install"))</f>
        <v/>
      </c>
      <c r="M241" s="507" t="str">
        <f>IF(N("If it is Dendro or Tron, Do not Show Color Analysis Video")+
OR(AND(ROW(L241)&gt;=9,ROW(L241)&lt;=38),
AND(ROW(L241)&gt;=99,ROW(L241)&lt;=128)), "","☐ Video ClrAna")</f>
        <v>☐ Video ClrAna</v>
      </c>
      <c r="N241" s="508" t="str">
        <f>IF(OR(INT((ROW(D241)-10)/30)+1=2,INT((ROW(D241)-10)/30)+1=4),"","☐ ")&amp;
IF(INT((ROW(D241)-10)/30)+1=1,"Scanner.cal","")&amp;
IF(INT((ROW(D241)-10)/30)+1=2,"","")&amp;
IF(INT((ROW(D241)-10)/30)+1=3,"Scanner.cal","")&amp;
IF(INT((ROW(D241)-10)/30)+1=4,"","")&amp;
IF(INT((ROW(D241)-10)/30)+1=5,"Scanner.cal","")&amp;
IF(INT((ROW(D241)-10)/30)+1=6,"Scanner.cal","")&amp;
IF(INT((ROW(D241)-10)/30)+1=7,"Scanner.cal","")&amp;
IF(INT((ROW(D241)-10)/30)+1=8,IF(SCANOPY_Camera, "Indiv", "Gen")&amp; " Lens.cal","")</f>
        <v>☐ Indiv Lens.cal</v>
      </c>
      <c r="O241" s="395" t="str">
        <f>IF(AND(ROW(L241)&gt;=9,ROW(L241)&lt;=38),"☐ RegentTarget.blu","")</f>
        <v/>
      </c>
      <c r="P241" s="302"/>
      <c r="Q241" s="302"/>
    </row>
    <row r="242" spans="1:17" ht="24" customHeight="1" x14ac:dyDescent="0.2">
      <c r="A242" s="596" t="s">
        <v>269</v>
      </c>
      <c r="B242" s="311" t="s">
        <v>269</v>
      </c>
      <c r="C242" s="395" t="s">
        <v>159</v>
      </c>
      <c r="D242" s="395" t="str">
        <f xml:space="preserve"> IF(N("If it is Cam, Do not Show XL")+AND(ROW(D242)&gt;=189,ROW(D242)&lt;=218),"","☐ XL Man")</f>
        <v>☐ XL Man</v>
      </c>
      <c r="E242" s="570" t="str">
        <f>IF(N("Si OR dessous = vrai, pas de box")+OR(
N("1 OR Tron ou CELL")+OR(AND(ROW(K241)&gt;=39,ROW(K241)&lt;=68),AND(ROW(K241)&gt;=99,ROW(K241)&lt;=128)),
N("2 Pas de système scanopy and range opy")+AND(ROW(K241)&gt;=219,ROW(K241)&lt;=248,SCANOPY_N_System&lt;2),
N("3 Avec LC")&amp;IF(ISERROR(LEFT(J240,SEARCH("00",J240)-3)),"",LEFT(J240,SEARCH("00",J240)-3))="LC"),"","☐ ")
&amp;
IF(N("If it's OPY, put OMount Manual instead")+
AND(ROW(J241)&gt;=219,ROW(J241)&lt;=248),
IF(SCANOPY_N_System&gt;1,"OMount Man",""),
IF(N("If it is Cell or Tron, Do not Show Scanner related items")+OR(
AND(ROW(K241)&gt;=39,ROW(K241)&lt;=68),
AND(ROW(K241)&gt;=99,ROW(K241)&lt;=128)),
    "", IF(1=N("Si système a un scanner différent du Scanner populaire alors différent, sinon Scanner populaire")+AND(NOT(ISERROR(SEARCH("System",J240))),LEFT(J240,2)&lt;&gt;LEFT(PROD_MostPopularScanner,2)),
LEFT(J240,SEARCH("00",J240)-3),
PROD_MostPopularScanner) &amp; " Install Man"))</f>
        <v/>
      </c>
      <c r="F242" s="509" t="s">
        <v>285</v>
      </c>
      <c r="G242" s="395" t="s">
        <v>284</v>
      </c>
      <c r="H242" s="572" t="s">
        <v>260</v>
      </c>
      <c r="I242" s="510"/>
      <c r="J242" s="395" t="s">
        <v>160</v>
      </c>
      <c r="K242" s="353"/>
      <c r="L242" s="572" t="s">
        <v>734</v>
      </c>
      <c r="M242" s="395"/>
      <c r="N242" s="509"/>
      <c r="O242" s="395"/>
      <c r="P242" s="302"/>
      <c r="Q242" s="302"/>
    </row>
    <row r="243" spans="1:17" ht="16.25" customHeight="1" x14ac:dyDescent="0.2">
      <c r="A243" s="555"/>
      <c r="B243" s="385"/>
      <c r="C243" s="834" t="str">
        <f>IF((SCANOPY_N_UpgradeUpdate + SCANOPY_N_Software ) = 2,"",LEFT(INDEX(SCANOPY_SoftwareFullNames,SCANOPY_IndexSoftware),FIND(" ",INDEX(SCANOPY_SoftwareFullNames,SCANOPY_IndexSoftware),FIND(" ",INDEX(SCANOPY_SoftwareFullNames,SCANOPY_IndexSoftware))+1)) &amp;
SCANOPY_YearMostRecent )</f>
        <v/>
      </c>
      <c r="D243" s="834"/>
      <c r="E243" s="393"/>
      <c r="F243" s="393"/>
      <c r="G243" s="364" t="str">
        <f>IF(SCANOPY_OptionXL*(SCANOPY_N_Software+SCANOPY_N_UpgradeUpdate-2)&gt;=((ROW(G243)-ROW($G$219))/4+1),"XLSCANOPY "&amp; SCANOPY_YearMostRecent,IF(SCANOPY_Option1*(SCANOPY_N_Software-1)&gt;=((ROW(G243)-ROW($G$219))/4+1),"XLSCANOPY Mini "&amp; SCANOPY_YearMostRecent,""))</f>
        <v/>
      </c>
      <c r="H243" s="351"/>
      <c r="I243" s="351"/>
      <c r="J243" s="364" t="str">
        <f>IF(SCANOPY_N_System-1&gt;=((ROW(G243)-ROW($G$219))/4+1),IF(Francais,"Système","")&amp;IF(SCANOPY_IndexScanner=1," 24 MP DSLR"," 24 MP Mini Point&amp;Shoot")&amp;IF(Francais,""," System"),
IF(AND(SCANOPY_N_Software&gt;SCANOPY_N_System,SCANOPY_N_Software-1&gt;((ROW(G243)-ROW($G$219))/4+1)),IF(N_SystemTotal=0,"Software Only",IF(N_STDScanners+N_LAScanners+N_LCScanners=0,"Software Sans Scanner","Software Avec Scanner")),
IF(SCANOPY_N_UpgradeUpdate-1&gt;=((ROW(G243)-ROW($G$219))/4+1)-(MAX(SCANOPY_N_System,SCANOPY_N_Software)-1),"Update","")))</f>
        <v/>
      </c>
      <c r="K243" s="351"/>
      <c r="L243" s="350"/>
      <c r="M243" s="350"/>
      <c r="N243" s="350"/>
      <c r="O243" s="302"/>
      <c r="P243" s="302"/>
      <c r="Q243" s="302"/>
    </row>
    <row r="244" spans="1:17" ht="24" customHeight="1" x14ac:dyDescent="0.2">
      <c r="A244" s="596" t="s">
        <v>268</v>
      </c>
      <c r="B244" s="375" t="s">
        <v>268</v>
      </c>
      <c r="C244" s="507" t="str">
        <f>"☐☐ Win" &amp;
IF(INT((ROW(D244)-10)/30)+1=1,"DEN","")&amp;
IF(INT((ROW(D244)-10)/30)+1=2,"CEL","")&amp;
IF(INT((ROW(D244)-10)/30)+1=3,"RHI","")&amp;
IF(INT((ROW(D244)-10)/30)+1=4,"RT","")&amp;
IF(INT((ROW(D244)-10)/30)+1=5,"FOL","")&amp;
IF(INT((ROW(D244)-10)/30)+1=6,"SEE","")&amp;
IF(INT((ROW(D244)-10)/30)+1=7,"CAM","")&amp;
IF(INT((ROW(D244)-10)/30)+1=8,"SCA","") &amp; ".exe"</f>
        <v>☐☐ WinSCA.exe</v>
      </c>
      <c r="D244" s="507" t="str">
        <f xml:space="preserve"> IF(N("If it is Cam, Do not Show XL")+AND(ROW(D244)&gt;=189,ROW(D244)&lt;=218),"","☐ XL" &amp;
IF(INT((ROW(D244)-10)/30)+1=1,"STEM","")&amp;
IF(INT((ROW(D244)-10)/30)+1=2,"Cell","")&amp;
IF(INT((ROW(D244)-10)/30)+1=3,"Rhizo","")&amp;
IF(INT((ROW(D244)-10)/30)+1=4,"RhizoT","")&amp;
IF(INT((ROW(D244)-10)/30)+1=5,"Folia","")&amp;
IF(INT((ROW(D244)-10)/30)+1=6,"Seedle","")&amp;
IF(INT((ROW(D244)-10)/30)+1=7,"Cam","")&amp;
IF(INT((ROW(D244)-10)/30)+1=8,"Scanopy","") &amp; ".xls")</f>
        <v>☐ XLScanopy.xls</v>
      </c>
      <c r="E244" s="507" t="s">
        <v>309</v>
      </c>
      <c r="F244" s="508" t="s">
        <v>159</v>
      </c>
      <c r="G244" s="507" t="str">
        <f xml:space="preserve"> IF(N("If it is Cam, Do not Show XL")+AND(ROW(G244)&gt;=189,ROW(G244)&lt;=218),"","☐ XL Man")</f>
        <v>☐ XL Man</v>
      </c>
      <c r="H244" s="508" t="s">
        <v>290</v>
      </c>
      <c r="I244" s="395" t="s">
        <v>284</v>
      </c>
      <c r="J244" s="508" t="str">
        <f>IF(N("Si OR dessous = vrai, pas de box")+OR(
N("1 OR Tron ou CELL")+OR(AND(ROW(E244)&gt;=39,ROW(E244)&lt;=68),AND(ROW(E244)&gt;=99,ROW(E244)&lt;=128)),
N("2 Pas de système scanopy and range opy")+AND(ROW(E244)&gt;=219,ROW(E244)&lt;=248,SCANOPY_N_System&lt;2),
N("3 Avec LC")&amp;IF(ISERROR(LEFT(D243,SEARCH("00",D243)-3)),"",LEFT(D243,SEARCH("00",D243)-3))="LC"),"","☐ ")
&amp;
IF(N("If it's OPY, put OMount Manual instead")+
AND(ROW(D244)&gt;=219,ROW(D244)&lt;=248),
IF(SCANOPY_N_System&gt;1,
IF(SCANOPY_IndexScanner=1,"α" &amp; SCANOPY_CameraModel,SCANOPY_CameraModel_Mini) &amp; " Man",""),
IF(N("If it is Cell or Tron, Do not Show Scanner related items+No Video if LC")+OR(
AND(ROW(E244)&gt;=39,ROW(E244)&lt;=68),
AND(ROW(E244)&gt;=99,ROW(E244)&lt;=128)),
    "", IF(1=N("Si système a un scanner différent du Scanner populaire alors différent, sinon Scanner populaire")+AND(NOT(ISERROR(SEARCH("System",D243))),LEFT(D243,2)&lt;&gt;LEFT(PROD_MostPopularScanner,2)),
LEFT(D243,SEARCH("00",D243)-3),
PROD_MostPopularScanner) &amp; " Install Man"))</f>
        <v/>
      </c>
      <c r="K244" s="507" t="str">
        <f>IF(N("If it is Cell or Tron or OPY, Do not Show Twain")+OR(AND(ROW(K244)&gt;=39,ROW(K244)&lt;=68),AND(ROW(K244)&gt;=99,ROW(K244)&lt;=128),AND(ROW(J244)&gt;=219,ROW(J244)&lt;=248)),"","☐ TWAIN")</f>
        <v/>
      </c>
      <c r="L244" s="508" t="str">
        <f>IF(N("Si OR dessous = vrai, pas de box")+OR(
N("1 OR Dendro+CELL, Tron+Folia,Cam")+OR(
AND(ROW(K244)&gt;=9,ROW(K244)&lt;=68),
AND(ROW(K244)&gt;=99,ROW(K244)&lt;=158),
AND(ROW(K244)&gt;=189,ROW(K244)&lt;=218)),
N("2 Pas de système scanopy and range opy")+AND(ROW(K244)&gt;=219,ROW(K244)&lt;=248,SCANOPY_N_System&lt;2),
N("3 Avec LC")&amp;IF(ISERROR(LEFT(J243,SEARCH("00",J243)-3)),"",LEFT(J243,SEARCH("00",J243)-3))="LC"),"","☐ ")
&amp;
IF(N("If it's OPY, put OMount Manual instead")+
AND(ROW(J244)&gt;=219,ROW(J244)&lt;=248),
IF(SCANOPY_N_System&gt;1,"OMount Man",""),
IF(N("If it is Dendro+CELL, Tron+Folia or Cam, Do not Show Scanner related items+No Video if LC")+OR(
AND(ROW(K244)&gt;=9,ROW(K244)&lt;=68),
AND(ROW(K244)&gt;=99,ROW(K244)&lt;=158),
AND(ROW(K244)&gt;=189,ROW(K244)&lt;=218),
IF(ISERROR(LEFT(J243,SEARCH("00",J243)-3)),"",LEFT(J243,SEARCH("00",J243)-3))="LC"),
    "", "Video " &amp; IF(1=N("Si système a un scanner différent du Scanner populaire alors différent, sinon Scanner populaire")+AND(NOT(ISERROR(SEARCH("System",J243))),LEFT(J243,2)&lt;&gt;LEFT(PROD_MostPopularScanner,2)),
LEFT(J243,SEARCH("00",J243)-3),
PROD_MostPopularScanner) &amp; " Install"))</f>
        <v/>
      </c>
      <c r="M244" s="507" t="str">
        <f>IF(N("If it is Dendro or Tron, Do not Show Color Analysis Video")+
OR(AND(ROW(L244)&gt;=9,ROW(L244)&lt;=38),
AND(ROW(L244)&gt;=99,ROW(L244)&lt;=128)), "","☐ Video ClrAna")</f>
        <v>☐ Video ClrAna</v>
      </c>
      <c r="N244" s="508" t="str">
        <f>IF(OR(INT((ROW(D244)-10)/30)+1=2,INT((ROW(D244)-10)/30)+1=4),"","☐ ")&amp;
IF(INT((ROW(D244)-10)/30)+1=1,"Scanner.cal","")&amp;
IF(INT((ROW(D244)-10)/30)+1=2,"","")&amp;
IF(INT((ROW(D244)-10)/30)+1=3,"Scanner.cal","")&amp;
IF(INT((ROW(D244)-10)/30)+1=4,"","")&amp;
IF(INT((ROW(D244)-10)/30)+1=5,"Scanner.cal","")&amp;
IF(INT((ROW(D244)-10)/30)+1=6,"Scanner.cal","")&amp;
IF(INT((ROW(D244)-10)/30)+1=7,"Scanner.cal","")&amp;
IF(INT((ROW(D244)-10)/30)+1=8,IF(SCANOPY_Camera, "Indiv", "Gen")&amp; " Lens.cal","")</f>
        <v>☐ Indiv Lens.cal</v>
      </c>
      <c r="O244" s="395" t="str">
        <f>IF(AND(ROW(L244)&gt;=9,ROW(L244)&lt;=38),"☐ RegentTarget.blu","")</f>
        <v/>
      </c>
      <c r="P244" s="302"/>
      <c r="Q244" s="302"/>
    </row>
    <row r="245" spans="1:17" ht="24" customHeight="1" x14ac:dyDescent="0.2">
      <c r="A245" s="596" t="s">
        <v>269</v>
      </c>
      <c r="B245" s="311" t="s">
        <v>269</v>
      </c>
      <c r="C245" s="395" t="s">
        <v>159</v>
      </c>
      <c r="D245" s="395" t="str">
        <f xml:space="preserve"> IF(N("If it is Cam, Do not Show XL")+AND(ROW(D245)&gt;=189,ROW(D245)&lt;=218),"","☐ XL Man")</f>
        <v>☐ XL Man</v>
      </c>
      <c r="E245" s="570" t="str">
        <f>IF(N("Si OR dessous = vrai, pas de box")+OR(
N("1 OR Tron ou CELL")+OR(AND(ROW(K244)&gt;=39,ROW(K244)&lt;=68),AND(ROW(K244)&gt;=99,ROW(K244)&lt;=128)),
N("2 Pas de système scanopy and range opy")+AND(ROW(K244)&gt;=219,ROW(K244)&lt;=248,SCANOPY_N_System&lt;2),
N("3 Avec LC")&amp;IF(ISERROR(LEFT(J243,SEARCH("00",J243)-3)),"",LEFT(J243,SEARCH("00",J243)-3))="LC"),"","☐ ")
&amp;
IF(N("If it's OPY, put OMount Manual instead")+
AND(ROW(J244)&gt;=219,ROW(J244)&lt;=248),
IF(SCANOPY_N_System&gt;1,"OMount Man",""),
IF(N("If it is Cell or Tron, Do not Show Scanner related items")+OR(
AND(ROW(K244)&gt;=39,ROW(K244)&lt;=68),
AND(ROW(K244)&gt;=99,ROW(K244)&lt;=128)),
    "", IF(1=N("Si système a un scanner différent du Scanner populaire alors différent, sinon Scanner populaire")+AND(NOT(ISERROR(SEARCH("System",J243))),LEFT(J243,2)&lt;&gt;LEFT(PROD_MostPopularScanner,2)),
LEFT(J243,SEARCH("00",J243)-3),
PROD_MostPopularScanner) &amp; " Install Man"))</f>
        <v/>
      </c>
      <c r="F245" s="509" t="s">
        <v>285</v>
      </c>
      <c r="G245" s="395" t="s">
        <v>284</v>
      </c>
      <c r="H245" s="572" t="s">
        <v>260</v>
      </c>
      <c r="I245" s="510"/>
      <c r="J245" s="395" t="s">
        <v>160</v>
      </c>
      <c r="K245" s="353"/>
      <c r="L245" s="572" t="s">
        <v>734</v>
      </c>
      <c r="M245" s="395"/>
      <c r="N245" s="509"/>
      <c r="O245" s="395"/>
      <c r="P245" s="302"/>
      <c r="Q245" s="302"/>
    </row>
    <row r="246" spans="1:17" ht="16.25" customHeight="1" x14ac:dyDescent="0.2">
      <c r="A246" s="555"/>
      <c r="B246" s="385"/>
      <c r="C246" s="834" t="str">
        <f>IF((SCANOPY_N_UpgradeUpdate + SCANOPY_N_Software ) = 2,"",LEFT(INDEX(SCANOPY_SoftwareFullNames,SCANOPY_IndexSoftware),FIND(" ",INDEX(SCANOPY_SoftwareFullNames,SCANOPY_IndexSoftware),FIND(" ",INDEX(SCANOPY_SoftwareFullNames,SCANOPY_IndexSoftware))+1)) &amp;
SCANOPY_YearMostRecent )</f>
        <v/>
      </c>
      <c r="D246" s="834"/>
      <c r="E246" s="393"/>
      <c r="F246" s="393"/>
      <c r="G246" s="364" t="str">
        <f>IF(SCANOPY_OptionXL*(SCANOPY_N_Software+SCANOPY_N_UpgradeUpdate-2)&gt;=((ROW(G246)-ROW($G$219))/4+1),"XLSCANOPY "&amp; SCANOPY_YearMostRecent,IF(SCANOPY_Option1*(SCANOPY_N_Software-1)&gt;=((ROW(G246)-ROW($G$219))/4+1),"XLSCANOPY Mini "&amp; SCANOPY_YearMostRecent,""))</f>
        <v/>
      </c>
      <c r="H246" s="351"/>
      <c r="I246" s="351"/>
      <c r="J246" s="364" t="str">
        <f>IF(SCANOPY_N_System-1&gt;=((ROW(G246)-ROW($G$219))/4+1),IF(Francais,"Système","")&amp;IF(SCANOPY_IndexScanner=1," 24 MP DSLR"," 24 MP Mini Point&amp;Shoot")&amp;IF(Francais,""," System"),
IF(AND(SCANOPY_N_Software&gt;SCANOPY_N_System,SCANOPY_N_Software-1&gt;((ROW(G246)-ROW($G$219))/4+1)),IF(N_SystemTotal=0,"Software Only",IF(N_STDScanners+N_LAScanners+N_LCScanners=0,"Software Sans Scanner","Software Avec Scanner")),
IF(SCANOPY_N_UpgradeUpdate-1&gt;=((ROW(G246)-ROW($G$219))/4+1)-(MAX(SCANOPY_N_System,SCANOPY_N_Software)-1),"Update","")))</f>
        <v/>
      </c>
      <c r="K246" s="351"/>
      <c r="L246" s="350"/>
      <c r="M246" s="350"/>
      <c r="N246" s="350"/>
      <c r="O246" s="302"/>
      <c r="P246" s="302"/>
      <c r="Q246" s="302"/>
    </row>
    <row r="247" spans="1:17" ht="24" customHeight="1" x14ac:dyDescent="0.2">
      <c r="A247" s="596" t="s">
        <v>268</v>
      </c>
      <c r="B247" s="375" t="s">
        <v>268</v>
      </c>
      <c r="C247" s="507" t="str">
        <f>"☐☐ Win" &amp;
IF(INT((ROW(D247)-10)/30)+1=1,"DEN","")&amp;
IF(INT((ROW(D247)-10)/30)+1=2,"CEL","")&amp;
IF(INT((ROW(D247)-10)/30)+1=3,"RHI","")&amp;
IF(INT((ROW(D247)-10)/30)+1=4,"RT","")&amp;
IF(INT((ROW(D247)-10)/30)+1=5,"FOL","")&amp;
IF(INT((ROW(D247)-10)/30)+1=6,"SEE","")&amp;
IF(INT((ROW(D247)-10)/30)+1=7,"CAM","")&amp;
IF(INT((ROW(D247)-10)/30)+1=8,"SCA","") &amp; ".exe"</f>
        <v>☐☐ WinSCA.exe</v>
      </c>
      <c r="D247" s="507" t="str">
        <f xml:space="preserve"> IF(N("If it is Cam, Do not Show XL")+AND(ROW(D247)&gt;=189,ROW(D247)&lt;=218),"","☐ XL" &amp;
IF(INT((ROW(D247)-10)/30)+1=1,"STEM","")&amp;
IF(INT((ROW(D247)-10)/30)+1=2,"Cell","")&amp;
IF(INT((ROW(D247)-10)/30)+1=3,"Rhizo","")&amp;
IF(INT((ROW(D247)-10)/30)+1=4,"RhizoT","")&amp;
IF(INT((ROW(D247)-10)/30)+1=5,"Folia","")&amp;
IF(INT((ROW(D247)-10)/30)+1=6,"Seedle","")&amp;
IF(INT((ROW(D247)-10)/30)+1=7,"Cam","")&amp;
IF(INT((ROW(D247)-10)/30)+1=8,"Scanopy","") &amp; ".xls")</f>
        <v>☐ XLScanopy.xls</v>
      </c>
      <c r="E247" s="507" t="s">
        <v>309</v>
      </c>
      <c r="F247" s="508" t="s">
        <v>159</v>
      </c>
      <c r="G247" s="507" t="str">
        <f xml:space="preserve"> IF(N("If it is Cam, Do not Show XL")+AND(ROW(G247)&gt;=189,ROW(G247)&lt;=218),"","☐ XL Man")</f>
        <v>☐ XL Man</v>
      </c>
      <c r="H247" s="508" t="s">
        <v>290</v>
      </c>
      <c r="I247" s="395" t="s">
        <v>284</v>
      </c>
      <c r="J247" s="508" t="str">
        <f>IF(N("Si OR dessous = vrai, pas de box")+OR(
N("1 OR Tron ou CELL")+OR(AND(ROW(E247)&gt;=39,ROW(E247)&lt;=68),AND(ROW(E247)&gt;=99,ROW(E247)&lt;=128)),
N("2 Pas de système scanopy and range opy")+AND(ROW(E247)&gt;=219,ROW(E247)&lt;=248,SCANOPY_N_System&lt;2),
N("3 Avec LC")&amp;IF(ISERROR(LEFT(D246,SEARCH("00",D246)-3)),"",LEFT(D246,SEARCH("00",D246)-3))="LC"),"","☐ ")
&amp;
IF(N("If it's OPY, put OMount Manual instead")+
AND(ROW(D247)&gt;=219,ROW(D247)&lt;=248),
IF(SCANOPY_N_System&gt;1,
IF(SCANOPY_IndexScanner=1,"α" &amp; SCANOPY_CameraModel,SCANOPY_CameraModel_Mini) &amp; " Man",""),
IF(N("If it is Cell or Tron, Do not Show Scanner related items+No Video if LC")+OR(
AND(ROW(E247)&gt;=39,ROW(E247)&lt;=68),
AND(ROW(E247)&gt;=99,ROW(E247)&lt;=128)),
    "", IF(1=N("Si système a un scanner différent du Scanner populaire alors différent, sinon Scanner populaire")+AND(NOT(ISERROR(SEARCH("System",D246))),LEFT(D246,2)&lt;&gt;LEFT(PROD_MostPopularScanner,2)),
LEFT(D246,SEARCH("00",D246)-3),
PROD_MostPopularScanner) &amp; " Install Man"))</f>
        <v/>
      </c>
      <c r="K247" s="507" t="str">
        <f>IF(N("If it is Cell or Tron or OPY, Do not Show Twain")+OR(AND(ROW(K247)&gt;=39,ROW(K247)&lt;=68),AND(ROW(K247)&gt;=99,ROW(K247)&lt;=128),AND(ROW(J247)&gt;=219,ROW(J247)&lt;=248)),"","☐ TWAIN")</f>
        <v/>
      </c>
      <c r="L247" s="508" t="str">
        <f>IF(N("Si OR dessous = vrai, pas de box")+OR(
N("1 OR Dendro+CELL, Tron+Folia,Cam")+OR(
AND(ROW(K247)&gt;=9,ROW(K247)&lt;=68),
AND(ROW(K247)&gt;=99,ROW(K247)&lt;=158),
AND(ROW(K247)&gt;=189,ROW(K247)&lt;=218)),
N("2 Pas de système scanopy and range opy")+AND(ROW(K247)&gt;=219,ROW(K247)&lt;=248,SCANOPY_N_System&lt;2),
N("3 Avec LC")&amp;IF(ISERROR(LEFT(J246,SEARCH("00",J246)-3)),"",LEFT(J246,SEARCH("00",J246)-3))="LC"),"","☐ ")
&amp;
IF(N("If it's OPY, put OMount Manual instead")+
AND(ROW(J247)&gt;=219,ROW(J247)&lt;=248),
IF(SCANOPY_N_System&gt;1,"OMount Man",""),
IF(N("If it is Dendro+CELL, Tron+Folia or Cam, Do not Show Scanner related items+No Video if LC")+OR(
AND(ROW(K247)&gt;=9,ROW(K247)&lt;=68),
AND(ROW(K247)&gt;=99,ROW(K247)&lt;=158),
AND(ROW(K247)&gt;=189,ROW(K247)&lt;=218),
IF(ISERROR(LEFT(J246,SEARCH("00",J246)-3)),"",LEFT(J246,SEARCH("00",J246)-3))="LC"),
    "", "Video " &amp; IF(1=N("Si système a un scanner différent du Scanner populaire alors différent, sinon Scanner populaire")+AND(NOT(ISERROR(SEARCH("System",J246))),LEFT(J246,2)&lt;&gt;LEFT(PROD_MostPopularScanner,2)),
LEFT(J246,SEARCH("00",J246)-3),
PROD_MostPopularScanner) &amp; " Install"))</f>
        <v/>
      </c>
      <c r="M247" s="507" t="str">
        <f>IF(N("If it is Dendro or Tron, Do not Show Color Analysis Video")+
OR(AND(ROW(L247)&gt;=9,ROW(L247)&lt;=38),
AND(ROW(L247)&gt;=99,ROW(L247)&lt;=128)), "","☐ Video ClrAna")</f>
        <v>☐ Video ClrAna</v>
      </c>
      <c r="N247" s="508" t="str">
        <f>IF(OR(INT((ROW(D247)-10)/30)+1=2,INT((ROW(D247)-10)/30)+1=4),"","☐ ")&amp;
IF(INT((ROW(D247)-10)/30)+1=1,"Scanner.cal","")&amp;
IF(INT((ROW(D247)-10)/30)+1=2,"","")&amp;
IF(INT((ROW(D247)-10)/30)+1=3,"Scanner.cal","")&amp;
IF(INT((ROW(D247)-10)/30)+1=4,"","")&amp;
IF(INT((ROW(D247)-10)/30)+1=5,"Scanner.cal","")&amp;
IF(INT((ROW(D247)-10)/30)+1=6,"Scanner.cal","")&amp;
IF(INT((ROW(D247)-10)/30)+1=7,"Scanner.cal","")&amp;
IF(INT((ROW(D247)-10)/30)+1=8,IF(SCANOPY_Camera, "Indiv", "Gen")&amp; " Lens.cal","")</f>
        <v>☐ Indiv Lens.cal</v>
      </c>
      <c r="O247" s="395" t="str">
        <f>IF(AND(ROW(L247)&gt;=9,ROW(L247)&lt;=38),"☐ RegentTarget.blu","")</f>
        <v/>
      </c>
      <c r="P247" s="302"/>
      <c r="Q247" s="302"/>
    </row>
    <row r="248" spans="1:17" ht="24" customHeight="1" x14ac:dyDescent="0.2">
      <c r="A248" s="596" t="s">
        <v>269</v>
      </c>
      <c r="B248" s="311" t="s">
        <v>269</v>
      </c>
      <c r="C248" s="395" t="s">
        <v>159</v>
      </c>
      <c r="D248" s="395" t="str">
        <f xml:space="preserve"> IF(N("If it is Cam, Do not Show XL")+AND(ROW(D248)&gt;=189,ROW(D248)&lt;=218),"","☐ XL Man")</f>
        <v>☐ XL Man</v>
      </c>
      <c r="E248" s="570" t="str">
        <f>IF(N("Si OR dessous = vrai, pas de box")+OR(
N("1 OR Tron ou CELL")+OR(AND(ROW(K247)&gt;=39,ROW(K247)&lt;=68),AND(ROW(K247)&gt;=99,ROW(K247)&lt;=128)),
N("2 Pas de système scanopy and range opy")+AND(ROW(K247)&gt;=219,ROW(K247)&lt;=248,SCANOPY_N_System&lt;2),
N("3 Avec LC")&amp;IF(ISERROR(LEFT(J246,SEARCH("00",J246)-3)),"",LEFT(J246,SEARCH("00",J246)-3))="LC"),"","☐ ")
&amp;
IF(N("If it's OPY, put OMount Manual instead")+
AND(ROW(J247)&gt;=219,ROW(J247)&lt;=248),
IF(SCANOPY_N_System&gt;1,"OMount Man",""),
IF(N("If it is Cell or Tron, Do not Show Scanner related items")+OR(
AND(ROW(K247)&gt;=39,ROW(K247)&lt;=68),
AND(ROW(K247)&gt;=99,ROW(K247)&lt;=128)),
    "", IF(1=N("Si système a un scanner différent du Scanner populaire alors différent, sinon Scanner populaire")+AND(NOT(ISERROR(SEARCH("System",J246))),LEFT(J246,2)&lt;&gt;LEFT(PROD_MostPopularScanner,2)),
LEFT(J246,SEARCH("00",J246)-3),
PROD_MostPopularScanner) &amp; " Install Man"))</f>
        <v/>
      </c>
      <c r="F248" s="509" t="s">
        <v>285</v>
      </c>
      <c r="G248" s="395" t="s">
        <v>284</v>
      </c>
      <c r="H248" s="572" t="s">
        <v>260</v>
      </c>
      <c r="I248" s="510"/>
      <c r="J248" s="395" t="s">
        <v>160</v>
      </c>
      <c r="K248" s="353"/>
      <c r="L248" s="572" t="s">
        <v>734</v>
      </c>
      <c r="M248" s="395"/>
      <c r="N248" s="509"/>
      <c r="O248" s="395"/>
      <c r="P248" s="302"/>
      <c r="Q248" s="302"/>
    </row>
    <row r="249" spans="1:17" ht="16.25" customHeight="1" x14ac:dyDescent="0.25">
      <c r="A249" s="556"/>
      <c r="B249" s="355" t="s">
        <v>155</v>
      </c>
      <c r="C249" s="569" t="s">
        <v>155</v>
      </c>
      <c r="D249" s="354"/>
      <c r="E249" s="354"/>
      <c r="F249" s="354"/>
      <c r="G249" s="355"/>
      <c r="H249" s="356"/>
      <c r="I249" s="356"/>
      <c r="J249" s="356"/>
      <c r="K249" s="356"/>
      <c r="L249" s="356"/>
      <c r="M249" s="356"/>
      <c r="N249" s="356"/>
      <c r="O249" s="302"/>
      <c r="P249" s="302"/>
      <c r="Q249" s="302"/>
    </row>
    <row r="250" spans="1:17" ht="16.25" customHeight="1" x14ac:dyDescent="0.2">
      <c r="A250" s="548"/>
      <c r="B250" s="338"/>
      <c r="C250" s="339"/>
      <c r="D250" s="339"/>
      <c r="E250" s="339"/>
      <c r="F250" s="339"/>
      <c r="G250" s="339"/>
      <c r="H250" s="339"/>
      <c r="I250" s="339"/>
      <c r="J250" s="339"/>
      <c r="K250" s="339"/>
      <c r="L250" s="339"/>
      <c r="M250" s="339"/>
      <c r="N250" s="339"/>
      <c r="O250" s="302"/>
      <c r="P250" s="302"/>
      <c r="Q250" s="302"/>
    </row>
    <row r="251" spans="1:17" ht="18" customHeight="1" x14ac:dyDescent="0.2">
      <c r="A251" s="824" t="str">
        <f>"SCAN"&amp;1</f>
        <v>SCAN1</v>
      </c>
      <c r="B251" s="332" t="str">
        <f>"SCAN"&amp;1</f>
        <v>SCAN1</v>
      </c>
      <c r="C251" s="395" t="str">
        <f>IF(DENDRO_IndexScanner=1,"STD4800","LA2400")</f>
        <v>STD4800</v>
      </c>
      <c r="D251" s="511" t="str">
        <f>IF(DENDRO_IndexScanner=1,"V850","Exp13000")</f>
        <v>V850</v>
      </c>
      <c r="E251" s="510"/>
      <c r="F251" s="395" t="s">
        <v>161</v>
      </c>
      <c r="G251" s="395" t="s">
        <v>743</v>
      </c>
      <c r="H251" s="41"/>
      <c r="I251" s="572" t="s">
        <v>321</v>
      </c>
      <c r="J251" s="512"/>
      <c r="K251" s="395" t="s">
        <v>161</v>
      </c>
      <c r="L251" s="353"/>
      <c r="M251" s="395"/>
      <c r="N251" s="513"/>
      <c r="O251" s="513"/>
      <c r="P251" s="302"/>
      <c r="Q251" s="302"/>
    </row>
    <row r="252" spans="1:17" ht="18" customHeight="1" x14ac:dyDescent="0.2">
      <c r="A252" s="824"/>
      <c r="B252" s="333"/>
      <c r="C252" s="395" t="s">
        <v>256</v>
      </c>
      <c r="D252" s="353"/>
      <c r="E252" s="395"/>
      <c r="F252" s="395" t="s">
        <v>257</v>
      </c>
      <c r="G252" s="303"/>
      <c r="H252" s="353"/>
      <c r="I252" s="395" t="str">
        <f>"☐ " &amp; IF(DENDRO_IndexScanner=1,
"Label ""STD4800 Scanner""",
"Label ""LA2400 Scanner""")</f>
        <v>☐ Label "STD4800 Scanner"</v>
      </c>
      <c r="J252" s="353"/>
      <c r="K252" s="353"/>
      <c r="L252" s="353"/>
      <c r="M252" s="353"/>
      <c r="N252" s="513"/>
      <c r="O252" s="513"/>
      <c r="P252" s="302"/>
      <c r="Q252" s="302"/>
    </row>
    <row r="253" spans="1:17" ht="18" customHeight="1" x14ac:dyDescent="0.2">
      <c r="A253" s="824"/>
      <c r="B253" s="333"/>
      <c r="C253" s="353" t="s">
        <v>279</v>
      </c>
      <c r="D253" s="514"/>
      <c r="E253" s="515" t="s">
        <v>280</v>
      </c>
      <c r="F253" s="515" t="s">
        <v>281</v>
      </c>
      <c r="G253" s="515" t="s">
        <v>282</v>
      </c>
      <c r="H253" s="515" t="s">
        <v>283</v>
      </c>
      <c r="I253" s="513"/>
      <c r="J253" s="513"/>
      <c r="K253" s="513"/>
      <c r="L253" s="513"/>
      <c r="M253" s="513"/>
      <c r="N253" s="513"/>
      <c r="O253" s="513"/>
      <c r="P253" s="302"/>
      <c r="Q253" s="302"/>
    </row>
    <row r="254" spans="1:17" ht="13.25" customHeight="1" x14ac:dyDescent="0.2">
      <c r="A254" s="599"/>
      <c r="B254" s="333"/>
      <c r="C254" s="353"/>
      <c r="D254" s="353"/>
      <c r="E254" s="516"/>
      <c r="F254" s="353"/>
      <c r="G254" s="514"/>
      <c r="H254" s="353"/>
      <c r="I254" s="353"/>
      <c r="J254" s="353"/>
      <c r="K254" s="353"/>
      <c r="L254" s="517"/>
      <c r="M254" s="353"/>
      <c r="N254" s="513"/>
      <c r="O254" s="513"/>
      <c r="P254" s="302"/>
      <c r="Q254" s="302"/>
    </row>
    <row r="255" spans="1:17" ht="18" customHeight="1" x14ac:dyDescent="0.2">
      <c r="A255" s="827" t="str">
        <f>"SCAN"&amp;_xlfn.AGGREGATE(3,7,$B$251)+1</f>
        <v>SCAN2</v>
      </c>
      <c r="B255" s="332" t="str">
        <f>"SCAN"&amp;_xlfn.AGGREGATE(3,7,$B$251)+1</f>
        <v>SCAN2</v>
      </c>
      <c r="C255" s="395" t="str">
        <f>IF(DENDRO_IndexScanner=1,"STD4800","LA2400")</f>
        <v>STD4800</v>
      </c>
      <c r="D255" s="511" t="str">
        <f>IF(DENDRO_IndexScanner=1,"V850","Exp13000")</f>
        <v>V850</v>
      </c>
      <c r="E255" s="510"/>
      <c r="F255" s="395" t="s">
        <v>161</v>
      </c>
      <c r="G255" s="395" t="s">
        <v>743</v>
      </c>
      <c r="H255" s="41"/>
      <c r="I255" s="572" t="s">
        <v>321</v>
      </c>
      <c r="J255" s="512"/>
      <c r="K255" s="395" t="s">
        <v>161</v>
      </c>
      <c r="L255" s="353"/>
      <c r="M255" s="353"/>
      <c r="N255" s="513"/>
      <c r="O255" s="513"/>
      <c r="P255" s="302"/>
      <c r="Q255" s="302"/>
    </row>
    <row r="256" spans="1:17" ht="18" customHeight="1" x14ac:dyDescent="0.2">
      <c r="A256" s="827"/>
      <c r="B256" s="333"/>
      <c r="C256" s="395" t="s">
        <v>256</v>
      </c>
      <c r="D256" s="353"/>
      <c r="E256" s="395"/>
      <c r="F256" s="395" t="s">
        <v>257</v>
      </c>
      <c r="G256" s="353"/>
      <c r="H256" s="353"/>
      <c r="I256" s="395" t="str">
        <f>"☐ " &amp; IF(DENDRO_IndexScanner=1,
"Label ""STD4800 Scanner""",
"Label ""LA2400 Scanner""")</f>
        <v>☐ Label "STD4800 Scanner"</v>
      </c>
      <c r="J256" s="353"/>
      <c r="K256" s="353"/>
      <c r="L256" s="353"/>
      <c r="M256" s="353"/>
      <c r="N256" s="513"/>
      <c r="O256" s="513"/>
      <c r="P256" s="302"/>
      <c r="Q256" s="302"/>
    </row>
    <row r="257" spans="1:17" ht="18" customHeight="1" x14ac:dyDescent="0.2">
      <c r="A257" s="827"/>
      <c r="B257" s="333"/>
      <c r="C257" s="353" t="s">
        <v>279</v>
      </c>
      <c r="D257" s="514"/>
      <c r="E257" s="515" t="s">
        <v>280</v>
      </c>
      <c r="F257" s="515" t="s">
        <v>281</v>
      </c>
      <c r="G257" s="515" t="s">
        <v>282</v>
      </c>
      <c r="H257" s="515" t="s">
        <v>283</v>
      </c>
      <c r="I257" s="513"/>
      <c r="J257" s="513"/>
      <c r="K257" s="513"/>
      <c r="L257" s="513"/>
      <c r="M257" s="513"/>
      <c r="N257" s="513"/>
      <c r="O257" s="513"/>
      <c r="P257" s="302"/>
      <c r="Q257" s="302"/>
    </row>
    <row r="258" spans="1:17" ht="18" customHeight="1" x14ac:dyDescent="0.2">
      <c r="A258" s="599"/>
      <c r="B258" s="333"/>
      <c r="C258" s="353"/>
      <c r="D258" s="353"/>
      <c r="E258" s="516"/>
      <c r="F258" s="353"/>
      <c r="G258" s="514"/>
      <c r="H258" s="353"/>
      <c r="I258" s="353"/>
      <c r="J258" s="353"/>
      <c r="K258" s="353"/>
      <c r="L258" s="517"/>
      <c r="M258" s="353"/>
      <c r="N258" s="513"/>
      <c r="O258" s="513"/>
      <c r="P258" s="302"/>
      <c r="Q258" s="302"/>
    </row>
    <row r="259" spans="1:17" ht="18" customHeight="1" x14ac:dyDescent="0.2">
      <c r="A259" s="827" t="str">
        <f>"SCAN"&amp;_xlfn.AGGREGATE(3,7,$B$251,$B$255)+1</f>
        <v>SCAN3</v>
      </c>
      <c r="B259" s="332" t="str">
        <f>"SCAN"&amp;_xlfn.AGGREGATE(3,7,$B$251,$B$255)+1</f>
        <v>SCAN3</v>
      </c>
      <c r="C259" s="395" t="str">
        <f>IF(DENDRO_IndexScanner=1,"STD4800","LA2400")</f>
        <v>STD4800</v>
      </c>
      <c r="D259" s="511" t="str">
        <f>IF(DENDRO_IndexScanner=1,"V850","Exp13000")</f>
        <v>V850</v>
      </c>
      <c r="E259" s="510"/>
      <c r="F259" s="395" t="s">
        <v>161</v>
      </c>
      <c r="G259" s="395" t="s">
        <v>743</v>
      </c>
      <c r="H259" s="41"/>
      <c r="I259" s="572" t="s">
        <v>321</v>
      </c>
      <c r="J259" s="512"/>
      <c r="K259" s="395" t="s">
        <v>161</v>
      </c>
      <c r="L259" s="353"/>
      <c r="M259" s="395"/>
      <c r="N259" s="513"/>
      <c r="O259" s="513"/>
      <c r="P259" s="302"/>
      <c r="Q259" s="302"/>
    </row>
    <row r="260" spans="1:17" ht="18" customHeight="1" x14ac:dyDescent="0.2">
      <c r="A260" s="827"/>
      <c r="B260" s="333"/>
      <c r="C260" s="395" t="s">
        <v>256</v>
      </c>
      <c r="D260" s="353"/>
      <c r="E260" s="395"/>
      <c r="F260" s="395" t="s">
        <v>257</v>
      </c>
      <c r="G260" s="353"/>
      <c r="H260" s="353"/>
      <c r="I260" s="395" t="str">
        <f>"☐ " &amp; IF(DENDRO_IndexScanner=1,
"Label ""STD4800 Scanner""",
"Label ""LA2400 Scanner""")</f>
        <v>☐ Label "STD4800 Scanner"</v>
      </c>
      <c r="J260" s="353"/>
      <c r="K260" s="353"/>
      <c r="L260" s="353"/>
      <c r="M260" s="353"/>
      <c r="N260" s="513"/>
      <c r="O260" s="513"/>
      <c r="P260" s="302"/>
      <c r="Q260" s="302"/>
    </row>
    <row r="261" spans="1:17" ht="18" customHeight="1" x14ac:dyDescent="0.2">
      <c r="A261" s="827"/>
      <c r="B261" s="333"/>
      <c r="C261" s="353" t="s">
        <v>279</v>
      </c>
      <c r="D261" s="514"/>
      <c r="E261" s="515" t="s">
        <v>280</v>
      </c>
      <c r="F261" s="515" t="s">
        <v>281</v>
      </c>
      <c r="G261" s="515" t="s">
        <v>282</v>
      </c>
      <c r="H261" s="515" t="s">
        <v>283</v>
      </c>
      <c r="I261" s="513"/>
      <c r="J261" s="513"/>
      <c r="K261" s="513"/>
      <c r="L261" s="513"/>
      <c r="M261" s="513"/>
      <c r="N261" s="513"/>
      <c r="O261" s="513"/>
      <c r="P261" s="302"/>
      <c r="Q261" s="302"/>
    </row>
    <row r="262" spans="1:17" ht="18" customHeight="1" x14ac:dyDescent="0.2">
      <c r="A262" s="599"/>
      <c r="B262" s="333"/>
      <c r="C262" s="353"/>
      <c r="D262" s="353"/>
      <c r="E262" s="516"/>
      <c r="F262" s="353"/>
      <c r="G262" s="514"/>
      <c r="H262" s="513"/>
      <c r="I262" s="513"/>
      <c r="J262" s="513"/>
      <c r="K262" s="513"/>
      <c r="L262" s="513"/>
      <c r="M262" s="513"/>
      <c r="N262" s="513"/>
      <c r="O262" s="513"/>
      <c r="P262" s="302"/>
      <c r="Q262" s="302"/>
    </row>
    <row r="263" spans="1:17" ht="18" customHeight="1" x14ac:dyDescent="0.2">
      <c r="A263" s="827" t="str">
        <f>"SCAN"&amp;_xlfn.AGGREGATE(3,7,$B$251,$B$255,$B$259)+1</f>
        <v>SCAN4</v>
      </c>
      <c r="B263" s="332" t="str">
        <f>"SCAN"&amp;_xlfn.AGGREGATE(3,7,$B$251,$B$255,$B$259)+1</f>
        <v>SCAN4</v>
      </c>
      <c r="C263" s="395" t="str">
        <f>IF(DENDRO_IndexScanner=1,"STD4800","LA2400")</f>
        <v>STD4800</v>
      </c>
      <c r="D263" s="511" t="str">
        <f>IF(DENDRO_IndexScanner=1,"V850","Exp13000")</f>
        <v>V850</v>
      </c>
      <c r="E263" s="510"/>
      <c r="F263" s="395" t="s">
        <v>161</v>
      </c>
      <c r="G263" s="395" t="s">
        <v>743</v>
      </c>
      <c r="H263" s="41"/>
      <c r="I263" s="572" t="s">
        <v>321</v>
      </c>
      <c r="J263" s="512"/>
      <c r="K263" s="395" t="s">
        <v>161</v>
      </c>
      <c r="L263" s="353"/>
      <c r="M263" s="395"/>
      <c r="N263" s="513"/>
      <c r="O263" s="513"/>
      <c r="P263" s="302"/>
      <c r="Q263" s="302"/>
    </row>
    <row r="264" spans="1:17" ht="18" customHeight="1" x14ac:dyDescent="0.2">
      <c r="A264" s="827"/>
      <c r="B264" s="333"/>
      <c r="C264" s="395" t="s">
        <v>256</v>
      </c>
      <c r="D264" s="353"/>
      <c r="E264" s="395"/>
      <c r="F264" s="395" t="s">
        <v>257</v>
      </c>
      <c r="G264" s="353"/>
      <c r="H264" s="353"/>
      <c r="I264" s="395" t="str">
        <f>"☐ " &amp; IF(DENDRO_IndexScanner=1,
"Label ""STD4800 Scanner""",
"Label ""LA2400 Scanner""")</f>
        <v>☐ Label "STD4800 Scanner"</v>
      </c>
      <c r="J264" s="353"/>
      <c r="K264" s="353"/>
      <c r="L264" s="353"/>
      <c r="M264" s="353"/>
      <c r="N264" s="513"/>
      <c r="O264" s="513"/>
      <c r="P264" s="302"/>
      <c r="Q264" s="302"/>
    </row>
    <row r="265" spans="1:17" ht="18" customHeight="1" x14ac:dyDescent="0.2">
      <c r="A265" s="827"/>
      <c r="B265" s="333"/>
      <c r="C265" s="353" t="s">
        <v>279</v>
      </c>
      <c r="D265" s="514"/>
      <c r="E265" s="515" t="s">
        <v>280</v>
      </c>
      <c r="F265" s="515" t="s">
        <v>281</v>
      </c>
      <c r="G265" s="515" t="s">
        <v>282</v>
      </c>
      <c r="H265" s="515" t="s">
        <v>283</v>
      </c>
      <c r="I265" s="513"/>
      <c r="J265" s="513"/>
      <c r="K265" s="513"/>
      <c r="L265" s="513"/>
      <c r="M265" s="513"/>
      <c r="N265" s="513"/>
      <c r="O265" s="513"/>
      <c r="P265" s="302"/>
      <c r="Q265" s="302"/>
    </row>
    <row r="266" spans="1:17" ht="18" customHeight="1" x14ac:dyDescent="0.2">
      <c r="A266" s="599"/>
      <c r="B266" s="333"/>
      <c r="C266" s="353"/>
      <c r="D266" s="353"/>
      <c r="E266" s="516"/>
      <c r="F266" s="353"/>
      <c r="G266" s="514"/>
      <c r="H266" s="353"/>
      <c r="I266" s="353"/>
      <c r="J266" s="353"/>
      <c r="K266" s="353"/>
      <c r="L266" s="517"/>
      <c r="M266" s="353"/>
      <c r="N266" s="513"/>
      <c r="O266" s="513"/>
      <c r="P266" s="302"/>
      <c r="Q266" s="302"/>
    </row>
    <row r="267" spans="1:17" ht="18" customHeight="1" x14ac:dyDescent="0.2">
      <c r="A267" s="827" t="str">
        <f>"SCAN"&amp;_xlfn.AGGREGATE(3,7,$B$251,$B$255,$B$259,$B$263)+1</f>
        <v>SCAN5</v>
      </c>
      <c r="B267" s="332" t="str">
        <f>"SCAN"&amp;_xlfn.AGGREGATE(3,7,$B$251,$B$255,$B$259,$B$263)+1</f>
        <v>SCAN5</v>
      </c>
      <c r="C267" s="395" t="str">
        <f>IF(DENDRO_IndexScanner=1,"STD4800","LA2400")</f>
        <v>STD4800</v>
      </c>
      <c r="D267" s="511" t="str">
        <f>IF(DENDRO_IndexScanner=1,"V850","Exp13000")</f>
        <v>V850</v>
      </c>
      <c r="E267" s="510"/>
      <c r="F267" s="395" t="s">
        <v>161</v>
      </c>
      <c r="G267" s="395" t="s">
        <v>743</v>
      </c>
      <c r="H267" s="41"/>
      <c r="I267" s="572" t="s">
        <v>321</v>
      </c>
      <c r="J267" s="512"/>
      <c r="K267" s="395" t="s">
        <v>161</v>
      </c>
      <c r="L267" s="353"/>
      <c r="M267" s="395"/>
      <c r="N267" s="513"/>
      <c r="O267" s="513"/>
      <c r="P267" s="302"/>
      <c r="Q267" s="302"/>
    </row>
    <row r="268" spans="1:17" ht="18" customHeight="1" x14ac:dyDescent="0.2">
      <c r="A268" s="827"/>
      <c r="B268" s="333"/>
      <c r="C268" s="395" t="s">
        <v>256</v>
      </c>
      <c r="D268" s="353"/>
      <c r="E268" s="395"/>
      <c r="F268" s="395" t="s">
        <v>257</v>
      </c>
      <c r="G268" s="353"/>
      <c r="H268" s="353"/>
      <c r="I268" s="395" t="str">
        <f>"☐ " &amp; IF(DENDRO_IndexScanner=1,
"Label ""STD4800 Scanner""",
"Label ""LA2400 Scanner""")</f>
        <v>☐ Label "STD4800 Scanner"</v>
      </c>
      <c r="J268" s="353"/>
      <c r="K268" s="353"/>
      <c r="L268" s="353"/>
      <c r="M268" s="353"/>
      <c r="N268" s="513"/>
      <c r="O268" s="513"/>
      <c r="P268" s="302"/>
      <c r="Q268" s="302"/>
    </row>
    <row r="269" spans="1:17" ht="18" customHeight="1" x14ac:dyDescent="0.2">
      <c r="A269" s="827"/>
      <c r="B269" s="333"/>
      <c r="C269" s="353" t="s">
        <v>279</v>
      </c>
      <c r="D269" s="514"/>
      <c r="E269" s="515" t="s">
        <v>280</v>
      </c>
      <c r="F269" s="515" t="s">
        <v>281</v>
      </c>
      <c r="G269" s="515" t="s">
        <v>282</v>
      </c>
      <c r="H269" s="515" t="s">
        <v>283</v>
      </c>
      <c r="I269" s="513"/>
      <c r="J269" s="513"/>
      <c r="K269" s="513"/>
      <c r="L269" s="513"/>
      <c r="M269" s="513"/>
      <c r="N269" s="513"/>
      <c r="O269" s="513"/>
      <c r="P269" s="302"/>
      <c r="Q269" s="302"/>
    </row>
    <row r="270" spans="1:17" ht="16.25" customHeight="1" x14ac:dyDescent="0.2">
      <c r="A270" s="601"/>
      <c r="B270" s="340"/>
      <c r="C270" s="518"/>
      <c r="D270" s="518"/>
      <c r="E270" s="518"/>
      <c r="F270" s="518"/>
      <c r="G270" s="518"/>
      <c r="H270" s="519"/>
      <c r="I270" s="518"/>
      <c r="J270" s="518"/>
      <c r="K270" s="519"/>
      <c r="L270" s="518"/>
      <c r="M270" s="518"/>
      <c r="N270" s="518"/>
      <c r="O270" s="513"/>
      <c r="P270" s="302"/>
      <c r="Q270" s="302"/>
    </row>
    <row r="271" spans="1:17" ht="18" customHeight="1" x14ac:dyDescent="0.2">
      <c r="A271" s="837" t="str">
        <f>"SCAN"&amp;_xlfn.AGGREGATE(3,7,$B$251,$B$255,$B$259,$B$263,$B$267)+1</f>
        <v>SCAN6</v>
      </c>
      <c r="B271" s="332" t="str">
        <f>"SCAN"&amp;_xlfn.AGGREGATE(3,7,$B$251,$B$255,$B$259,$B$263,$B$267)+1</f>
        <v>SCAN6</v>
      </c>
      <c r="C271" s="395" t="str">
        <f>IF(RHIZO_IndexScanner=1,"STD4800","LA2400")</f>
        <v>LA2400</v>
      </c>
      <c r="D271" s="511" t="str">
        <f>IF(RHIZO_IndexScanner=1,"V850","Exp13000")</f>
        <v>Exp13000</v>
      </c>
      <c r="E271" s="510"/>
      <c r="F271" s="395" t="s">
        <v>161</v>
      </c>
      <c r="G271" s="395" t="s">
        <v>743</v>
      </c>
      <c r="H271" s="353"/>
      <c r="I271" s="572" t="s">
        <v>321</v>
      </c>
      <c r="J271" s="512"/>
      <c r="K271" s="395" t="s">
        <v>161</v>
      </c>
      <c r="L271" s="353"/>
      <c r="M271" s="395"/>
      <c r="N271" s="513"/>
      <c r="O271" s="513"/>
      <c r="P271" s="302"/>
      <c r="Q271" s="302"/>
    </row>
    <row r="272" spans="1:17" ht="18" customHeight="1" x14ac:dyDescent="0.2">
      <c r="A272" s="837"/>
      <c r="B272" s="332"/>
      <c r="C272" s="395" t="s">
        <v>256</v>
      </c>
      <c r="D272" s="353"/>
      <c r="E272" s="395" t="s">
        <v>257</v>
      </c>
      <c r="F272" s="353" t="s">
        <v>286</v>
      </c>
      <c r="G272" s="303"/>
      <c r="H272" s="353"/>
      <c r="I272" s="395" t="str">
        <f>IF(N("Ne pas afficher label du scanner dans section scanner si présent déjà dans posi")+RHIZO_PosiOrBlueBG_Checkbox=1,"",
"☐ " &amp; IF(RHIZO_IndexScanner=1,
"Label ""STD4800 Scanner""",
"Label ""LA2400 Scanner"""))</f>
        <v/>
      </c>
      <c r="J272" s="353"/>
      <c r="K272" s="353"/>
      <c r="L272" s="353"/>
      <c r="M272" s="353"/>
      <c r="N272" s="513"/>
      <c r="O272" s="513"/>
      <c r="P272" s="302"/>
      <c r="Q272" s="302"/>
    </row>
    <row r="273" spans="1:17" ht="18" customHeight="1" x14ac:dyDescent="0.2">
      <c r="A273" s="837"/>
      <c r="B273" s="332"/>
      <c r="C273" s="353" t="s">
        <v>279</v>
      </c>
      <c r="D273" s="514"/>
      <c r="E273" s="515" t="s">
        <v>280</v>
      </c>
      <c r="F273" s="515" t="s">
        <v>281</v>
      </c>
      <c r="G273" s="515" t="s">
        <v>282</v>
      </c>
      <c r="H273" s="515" t="s">
        <v>283</v>
      </c>
      <c r="I273" s="513"/>
      <c r="J273" s="513"/>
      <c r="K273" s="513"/>
      <c r="L273" s="513"/>
      <c r="M273" s="513"/>
      <c r="N273" s="513"/>
      <c r="O273" s="513"/>
      <c r="P273" s="302"/>
      <c r="Q273" s="302"/>
    </row>
    <row r="274" spans="1:17" ht="13.25" customHeight="1" x14ac:dyDescent="0.2">
      <c r="A274" s="601"/>
      <c r="B274" s="310"/>
      <c r="C274" s="395"/>
      <c r="D274" s="353"/>
      <c r="E274" s="353"/>
      <c r="F274" s="353"/>
      <c r="G274" s="353"/>
      <c r="H274" s="353"/>
      <c r="I274" s="353"/>
      <c r="J274" s="353"/>
      <c r="K274" s="353"/>
      <c r="L274" s="353"/>
      <c r="M274" s="353"/>
      <c r="N274" s="513"/>
      <c r="O274" s="513"/>
      <c r="P274" s="302"/>
      <c r="Q274" s="302"/>
    </row>
    <row r="275" spans="1:17" ht="18" customHeight="1" x14ac:dyDescent="0.2">
      <c r="A275" s="837" t="s">
        <v>278</v>
      </c>
      <c r="B275" s="333" t="s">
        <v>278</v>
      </c>
      <c r="C275"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75" s="353"/>
      <c r="E275" s="514"/>
      <c r="F275" s="514"/>
      <c r="G275" s="353"/>
      <c r="H275" s="41"/>
      <c r="I275" s="395" t="str">
        <f>IF(OR(RHIZO_IndexScanner=1,RHIZO_ClientWithOrWithoutScanner_ChkBox),
"",
"☐ Velcros pour TPU pin")</f>
        <v/>
      </c>
      <c r="J275" s="303"/>
      <c r="K275" s="395" t="str">
        <f>IF(RHIZO_IndexScanner=1,
"",
"☐ Root Posi. System LA, 2 de 3 (8 Blocs de couleur)")</f>
        <v>☐ Root Posi. System LA, 2 de 3 (8 Blocs de couleur)</v>
      </c>
      <c r="L275" s="514"/>
      <c r="M275" s="514"/>
      <c r="N275" s="513"/>
      <c r="O275" s="513"/>
      <c r="P275" s="302"/>
      <c r="Q275" s="302"/>
    </row>
    <row r="276" spans="1:17" ht="18" customHeight="1" x14ac:dyDescent="0.2">
      <c r="A276" s="837"/>
      <c r="B276" s="302"/>
      <c r="C276" s="395" t="str">
        <f>"☐ " &amp; IF(RHIZO_IndexScanner=1,
"Root Posi. System STD, 2 de 2 (Accessories Holder STD)",
"Root Posi. System LA, 3 de 3 (Accessories Holder LA)")</f>
        <v>☐ Root Posi. System LA, 3 de 3 (Accessories Holder LA)</v>
      </c>
      <c r="D276" s="514"/>
      <c r="E276" s="353"/>
      <c r="F276" s="353"/>
      <c r="G276" s="303"/>
      <c r="H276" s="395"/>
      <c r="I276" s="395" t="str">
        <f>"☐ " &amp; IF(RHIZO_IndexScanner=1,
"Label ""STD4800 Scanner""",
"Label ""LA2400 Scanner""")</f>
        <v>☐ Label "LA2400 Scanner"</v>
      </c>
      <c r="J276" s="514"/>
      <c r="K276" s="395" t="str">
        <f>"☐ " &amp; "Label ""Scanner Not Waterproof"""</f>
        <v>☐ Label "Scanner Not Waterproof"</v>
      </c>
      <c r="L276" s="514"/>
      <c r="M276" s="514"/>
      <c r="N276" s="513"/>
      <c r="O276" s="513"/>
      <c r="P276" s="302"/>
      <c r="Q276" s="302"/>
    </row>
    <row r="277" spans="1:17" ht="18" customHeight="1" x14ac:dyDescent="0.2">
      <c r="A277" s="600"/>
      <c r="B277" s="302"/>
      <c r="C277" s="395"/>
      <c r="D277" s="353"/>
      <c r="E277" s="353"/>
      <c r="F277" s="514"/>
      <c r="G277" s="513"/>
      <c r="H277" s="513"/>
      <c r="I277" s="514"/>
      <c r="J277" s="514"/>
      <c r="K277" s="515"/>
      <c r="L277" s="353"/>
      <c r="M277" s="353"/>
      <c r="N277" s="513"/>
      <c r="O277" s="513"/>
      <c r="P277" s="302"/>
      <c r="Q277" s="302"/>
    </row>
    <row r="278" spans="1:17" ht="16.25" customHeight="1" x14ac:dyDescent="0.2">
      <c r="A278" s="838" t="str">
        <f>"SCAN"&amp;_xlfn.AGGREGATE(3,7,$B$251,$B$255,$B$259,$B$263,$B$267,$B$271)+1</f>
        <v>SCAN7</v>
      </c>
      <c r="B278" s="332" t="str">
        <f>"SCAN"&amp;_xlfn.AGGREGATE(3,7,$B$251,$B$255,$B$259,$B$263,$B$267,$B$271)+1</f>
        <v>SCAN7</v>
      </c>
      <c r="C278" s="395" t="str">
        <f>IF(RHIZO_IndexScanner=1,"STD4800","LA2400")</f>
        <v>LA2400</v>
      </c>
      <c r="D278" s="511" t="str">
        <f>IF(RHIZO_IndexScanner=1,"V850","Exp13000")</f>
        <v>Exp13000</v>
      </c>
      <c r="E278" s="510"/>
      <c r="F278" s="395" t="s">
        <v>161</v>
      </c>
      <c r="G278" s="395" t="s">
        <v>743</v>
      </c>
      <c r="H278" s="353"/>
      <c r="I278" s="572" t="s">
        <v>321</v>
      </c>
      <c r="J278" s="512"/>
      <c r="K278" s="395" t="s">
        <v>161</v>
      </c>
      <c r="L278" s="353"/>
      <c r="M278" s="395"/>
      <c r="N278" s="513"/>
      <c r="O278" s="513"/>
      <c r="P278" s="302"/>
      <c r="Q278" s="302"/>
    </row>
    <row r="279" spans="1:17" ht="16.25" customHeight="1" x14ac:dyDescent="0.2">
      <c r="A279" s="838"/>
      <c r="B279" s="332"/>
      <c r="C279" s="395" t="s">
        <v>256</v>
      </c>
      <c r="D279" s="353"/>
      <c r="E279" s="395" t="s">
        <v>257</v>
      </c>
      <c r="F279" s="353" t="s">
        <v>286</v>
      </c>
      <c r="G279" s="303"/>
      <c r="H279" s="353"/>
      <c r="I279" s="395" t="str">
        <f>IF(N("Ne pas afficher label du scanner dans section scanner si présent déjà dans posi")+RHIZO_PosiOrBlueBG_Checkbox=1,"",
"☐ " &amp; IF(RHIZO_IndexScanner=1,
"Label ""STD4800 Scanner""",
"Label ""LA2400 Scanner"""))</f>
        <v/>
      </c>
      <c r="J279" s="353"/>
      <c r="K279" s="353"/>
      <c r="L279" s="353"/>
      <c r="M279" s="353"/>
      <c r="N279" s="513"/>
      <c r="O279" s="513"/>
      <c r="P279" s="302"/>
      <c r="Q279" s="302"/>
    </row>
    <row r="280" spans="1:17" ht="18" customHeight="1" x14ac:dyDescent="0.2">
      <c r="A280" s="838"/>
      <c r="B280" s="332"/>
      <c r="C280" s="353" t="s">
        <v>279</v>
      </c>
      <c r="D280" s="514"/>
      <c r="E280" s="515" t="s">
        <v>280</v>
      </c>
      <c r="F280" s="515" t="s">
        <v>281</v>
      </c>
      <c r="G280" s="515" t="s">
        <v>282</v>
      </c>
      <c r="H280" s="515" t="s">
        <v>283</v>
      </c>
      <c r="I280" s="513"/>
      <c r="J280" s="513"/>
      <c r="K280" s="513"/>
      <c r="L280" s="513"/>
      <c r="M280" s="513"/>
      <c r="N280" s="513"/>
      <c r="O280" s="513"/>
      <c r="P280" s="302"/>
      <c r="Q280" s="302"/>
    </row>
    <row r="281" spans="1:17" ht="13.25" customHeight="1" x14ac:dyDescent="0.2">
      <c r="A281" s="601"/>
      <c r="B281" s="310"/>
      <c r="C281" s="395"/>
      <c r="D281" s="353"/>
      <c r="E281" s="353"/>
      <c r="F281" s="353"/>
      <c r="G281" s="353"/>
      <c r="H281" s="353"/>
      <c r="I281" s="353"/>
      <c r="J281" s="353"/>
      <c r="K281" s="353"/>
      <c r="L281" s="353"/>
      <c r="M281" s="353"/>
      <c r="N281" s="513"/>
      <c r="O281" s="513"/>
      <c r="P281" s="302"/>
      <c r="Q281" s="302"/>
    </row>
    <row r="282" spans="1:17" ht="18" customHeight="1" x14ac:dyDescent="0.2">
      <c r="A282" s="837" t="s">
        <v>278</v>
      </c>
      <c r="B282" s="333" t="s">
        <v>278</v>
      </c>
      <c r="C282"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82" s="353"/>
      <c r="E282" s="514"/>
      <c r="F282" s="514"/>
      <c r="G282" s="353"/>
      <c r="H282" s="41"/>
      <c r="I282" s="395" t="str">
        <f>IF(OR(RHIZO_IndexScanner=1,RHIZO_ClientWithOrWithoutScanner_ChkBox),
"",
"☐ Velcros pour TPU pin")</f>
        <v/>
      </c>
      <c r="J282" s="303"/>
      <c r="K282" s="395" t="str">
        <f>IF(RHIZO_IndexScanner=1,
"",
"☐ Root Posi. System LA, 2 de 3 (8 Blocs de couleur)")</f>
        <v>☐ Root Posi. System LA, 2 de 3 (8 Blocs de couleur)</v>
      </c>
      <c r="L282" s="514"/>
      <c r="M282" s="514"/>
      <c r="N282" s="513"/>
      <c r="O282" s="513"/>
      <c r="P282" s="302"/>
      <c r="Q282" s="302"/>
    </row>
    <row r="283" spans="1:17" ht="16.25" customHeight="1" x14ac:dyDescent="0.2">
      <c r="A283" s="837"/>
      <c r="B283" s="302"/>
      <c r="C283" s="395" t="str">
        <f>"☐ " &amp; IF(RHIZO_IndexScanner=1,
"Root Posi. System STD, 2 de 2 (Accessories Holder STD)",
"Root Posi. System LA, 3 de 3 (Accessories Holder LA)")</f>
        <v>☐ Root Posi. System LA, 3 de 3 (Accessories Holder LA)</v>
      </c>
      <c r="D283" s="514"/>
      <c r="E283" s="353"/>
      <c r="F283" s="353"/>
      <c r="G283" s="303"/>
      <c r="H283" s="395"/>
      <c r="I283" s="395" t="str">
        <f>"☐ " &amp; IF(RHIZO_IndexScanner=1,
"Label ""STD4800 Scanner""",
"Label ""LA2400 Scanner""")</f>
        <v>☐ Label "LA2400 Scanner"</v>
      </c>
      <c r="J283" s="514"/>
      <c r="K283" s="395" t="str">
        <f>"☐ " &amp; "Label ""Scanner Not Waterproof"""</f>
        <v>☐ Label "Scanner Not Waterproof"</v>
      </c>
      <c r="L283" s="514"/>
      <c r="M283" s="514"/>
      <c r="N283" s="513"/>
      <c r="O283" s="513"/>
      <c r="P283" s="302"/>
      <c r="Q283" s="302"/>
    </row>
    <row r="284" spans="1:17" ht="18" customHeight="1" x14ac:dyDescent="0.2">
      <c r="A284" s="600"/>
      <c r="B284" s="302"/>
      <c r="C284" s="395"/>
      <c r="D284" s="353"/>
      <c r="E284" s="353"/>
      <c r="F284" s="514"/>
      <c r="G284" s="513"/>
      <c r="H284" s="513"/>
      <c r="I284" s="514"/>
      <c r="J284" s="514"/>
      <c r="K284" s="515"/>
      <c r="L284" s="353"/>
      <c r="M284" s="353"/>
      <c r="N284" s="513"/>
      <c r="O284" s="513"/>
      <c r="P284" s="302"/>
      <c r="Q284" s="302"/>
    </row>
    <row r="285" spans="1:17" ht="16.25" customHeight="1" x14ac:dyDescent="0.2">
      <c r="A285" s="838" t="str">
        <f>"SCAN"&amp;_xlfn.AGGREGATE(3,7,$B$251,$B$255,$B$259,$B$263,$B$267,$B$271,$B$278)+1</f>
        <v>SCAN8</v>
      </c>
      <c r="B285" s="332" t="str">
        <f>"SCAN"&amp;_xlfn.AGGREGATE(3,7,$B$251,$B$255,$B$259,$B$263,$B$267,$B$271,$B$278)+1</f>
        <v>SCAN8</v>
      </c>
      <c r="C285" s="395" t="str">
        <f>IF(RHIZO_IndexScanner=1,"STD4800","LA2400")</f>
        <v>LA2400</v>
      </c>
      <c r="D285" s="511" t="str">
        <f>IF(RHIZO_IndexScanner=1,"V850","Exp13000")</f>
        <v>Exp13000</v>
      </c>
      <c r="E285" s="510"/>
      <c r="F285" s="395" t="s">
        <v>161</v>
      </c>
      <c r="G285" s="395" t="s">
        <v>743</v>
      </c>
      <c r="H285" s="353"/>
      <c r="I285" s="572" t="s">
        <v>321</v>
      </c>
      <c r="J285" s="512"/>
      <c r="K285" s="395" t="s">
        <v>161</v>
      </c>
      <c r="L285" s="353"/>
      <c r="M285" s="395"/>
      <c r="N285" s="513"/>
      <c r="O285" s="513"/>
      <c r="P285" s="302"/>
      <c r="Q285" s="302"/>
    </row>
    <row r="286" spans="1:17" ht="16.25" customHeight="1" x14ac:dyDescent="0.2">
      <c r="A286" s="838"/>
      <c r="B286" s="332"/>
      <c r="C286" s="395" t="s">
        <v>256</v>
      </c>
      <c r="D286" s="353"/>
      <c r="E286" s="395" t="s">
        <v>257</v>
      </c>
      <c r="F286" s="353" t="s">
        <v>286</v>
      </c>
      <c r="G286" s="303"/>
      <c r="H286" s="353"/>
      <c r="I286" s="395" t="str">
        <f>IF(N("Ne pas afficher label du scanner dans section scanner si présent déjà dans posi")+RHIZO_PosiOrBlueBG_Checkbox=1,"",
"☐ " &amp; IF(RHIZO_IndexScanner=1,
"Label ""STD4800 Scanner""",
"Label ""LA2400 Scanner"""))</f>
        <v/>
      </c>
      <c r="J286" s="353"/>
      <c r="K286" s="353"/>
      <c r="L286" s="353"/>
      <c r="M286" s="353"/>
      <c r="N286" s="513"/>
      <c r="O286" s="513"/>
      <c r="P286" s="302"/>
      <c r="Q286" s="302"/>
    </row>
    <row r="287" spans="1:17" ht="18" customHeight="1" x14ac:dyDescent="0.2">
      <c r="A287" s="838"/>
      <c r="B287" s="332"/>
      <c r="C287" s="353" t="s">
        <v>279</v>
      </c>
      <c r="D287" s="514"/>
      <c r="E287" s="515" t="s">
        <v>280</v>
      </c>
      <c r="F287" s="515" t="s">
        <v>281</v>
      </c>
      <c r="G287" s="515" t="s">
        <v>282</v>
      </c>
      <c r="H287" s="515" t="s">
        <v>283</v>
      </c>
      <c r="I287" s="513"/>
      <c r="J287" s="513"/>
      <c r="K287" s="513"/>
      <c r="L287" s="513"/>
      <c r="M287" s="513"/>
      <c r="N287" s="513"/>
      <c r="O287" s="513"/>
      <c r="P287" s="302"/>
      <c r="Q287" s="302"/>
    </row>
    <row r="288" spans="1:17" ht="13.25" customHeight="1" x14ac:dyDescent="0.2">
      <c r="A288" s="601"/>
      <c r="B288" s="310"/>
      <c r="C288" s="395"/>
      <c r="D288" s="353"/>
      <c r="E288" s="353"/>
      <c r="F288" s="353"/>
      <c r="G288" s="353"/>
      <c r="H288" s="353"/>
      <c r="I288" s="353"/>
      <c r="J288" s="353"/>
      <c r="K288" s="353"/>
      <c r="L288" s="353"/>
      <c r="M288" s="353"/>
      <c r="N288" s="513"/>
      <c r="O288" s="513"/>
      <c r="P288" s="302"/>
      <c r="Q288" s="302"/>
    </row>
    <row r="289" spans="1:17" ht="18" customHeight="1" x14ac:dyDescent="0.2">
      <c r="A289" s="837" t="s">
        <v>278</v>
      </c>
      <c r="B289" s="333" t="s">
        <v>278</v>
      </c>
      <c r="C289"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89" s="353"/>
      <c r="E289" s="514"/>
      <c r="F289" s="514"/>
      <c r="G289" s="353"/>
      <c r="H289" s="41"/>
      <c r="I289" s="395" t="str">
        <f>IF(OR(RHIZO_IndexScanner=1,RHIZO_ClientWithOrWithoutScanner_ChkBox),
"",
"☐ Velcros pour TPU pin")</f>
        <v/>
      </c>
      <c r="J289" s="303"/>
      <c r="K289" s="395" t="str">
        <f>IF(RHIZO_IndexScanner=1,
"",
"☐ Root Posi. System LA, 2 de 3 (8 Blocs de couleur)")</f>
        <v>☐ Root Posi. System LA, 2 de 3 (8 Blocs de couleur)</v>
      </c>
      <c r="L289" s="514"/>
      <c r="M289" s="514"/>
      <c r="N289" s="513"/>
      <c r="O289" s="513"/>
      <c r="P289" s="302"/>
      <c r="Q289" s="302"/>
    </row>
    <row r="290" spans="1:17" ht="16.25" customHeight="1" x14ac:dyDescent="0.2">
      <c r="A290" s="837"/>
      <c r="B290" s="302"/>
      <c r="C290" s="395" t="str">
        <f>"☐ " &amp; IF(RHIZO_IndexScanner=1,
"Root Posi. System STD, 2 de 2 (Accessories Holder STD)",
"Root Posi. System LA, 3 de 3 (Accessories Holder LA)")</f>
        <v>☐ Root Posi. System LA, 3 de 3 (Accessories Holder LA)</v>
      </c>
      <c r="D290" s="514"/>
      <c r="E290" s="353"/>
      <c r="F290" s="353"/>
      <c r="G290" s="303"/>
      <c r="H290" s="395"/>
      <c r="I290" s="395" t="str">
        <f>"☐ " &amp; IF(RHIZO_IndexScanner=1,
"Label ""STD4800 Scanner""",
"Label ""LA2400 Scanner""")</f>
        <v>☐ Label "LA2400 Scanner"</v>
      </c>
      <c r="J290" s="514"/>
      <c r="K290" s="395" t="str">
        <f>"☐ " &amp; "Label ""Scanner Not Waterproof"""</f>
        <v>☐ Label "Scanner Not Waterproof"</v>
      </c>
      <c r="L290" s="514"/>
      <c r="M290" s="514"/>
      <c r="N290" s="513"/>
      <c r="O290" s="513"/>
      <c r="P290" s="302"/>
      <c r="Q290" s="302"/>
    </row>
    <row r="291" spans="1:17" ht="18" customHeight="1" x14ac:dyDescent="0.2">
      <c r="A291" s="600"/>
      <c r="B291" s="302"/>
      <c r="C291" s="395"/>
      <c r="D291" s="353"/>
      <c r="E291" s="353"/>
      <c r="F291" s="514"/>
      <c r="G291" s="513"/>
      <c r="H291" s="513"/>
      <c r="I291" s="514"/>
      <c r="J291" s="514"/>
      <c r="K291" s="515"/>
      <c r="L291" s="353"/>
      <c r="M291" s="353"/>
      <c r="N291" s="513"/>
      <c r="O291" s="513"/>
      <c r="P291" s="302"/>
      <c r="Q291" s="302"/>
    </row>
    <row r="292" spans="1:17" ht="16.25" customHeight="1" x14ac:dyDescent="0.2">
      <c r="A292" s="838" t="str">
        <f>"SCAN"&amp;_xlfn.AGGREGATE(3,7,$B$251,$B$255,$B$259,$B$263,$B$267,$B$271,$B$278,$B$285)+1</f>
        <v>SCAN9</v>
      </c>
      <c r="B292" s="332" t="str">
        <f>"SCAN"&amp;_xlfn.AGGREGATE(3,7,$B$251,$B$255,$B$259,$B$263,$B$267,$B$271,$B$278,$B$285)+1</f>
        <v>SCAN9</v>
      </c>
      <c r="C292" s="395" t="str">
        <f>IF(RHIZO_IndexScanner=1,"STD4800","LA2400")</f>
        <v>LA2400</v>
      </c>
      <c r="D292" s="511" t="str">
        <f>IF(RHIZO_IndexScanner=1,"V850","Exp13000")</f>
        <v>Exp13000</v>
      </c>
      <c r="E292" s="510"/>
      <c r="F292" s="395" t="s">
        <v>161</v>
      </c>
      <c r="G292" s="395" t="s">
        <v>743</v>
      </c>
      <c r="H292" s="353"/>
      <c r="I292" s="572" t="s">
        <v>321</v>
      </c>
      <c r="J292" s="512"/>
      <c r="K292" s="395" t="s">
        <v>161</v>
      </c>
      <c r="L292" s="353"/>
      <c r="M292" s="395"/>
      <c r="N292" s="513"/>
      <c r="O292" s="513"/>
      <c r="P292" s="302"/>
      <c r="Q292" s="302"/>
    </row>
    <row r="293" spans="1:17" ht="16.25" customHeight="1" x14ac:dyDescent="0.2">
      <c r="A293" s="838"/>
      <c r="B293" s="332"/>
      <c r="C293" s="395" t="s">
        <v>256</v>
      </c>
      <c r="D293" s="353"/>
      <c r="E293" s="395" t="s">
        <v>257</v>
      </c>
      <c r="F293" s="353" t="s">
        <v>286</v>
      </c>
      <c r="G293" s="303"/>
      <c r="H293" s="353"/>
      <c r="I293" s="395" t="str">
        <f>IF(N("Ne pas afficher label du scanner dans section scanner si présent déjà dans posi")+RHIZO_PosiOrBlueBG_Checkbox=1,"",
"☐ " &amp; IF(RHIZO_IndexScanner=1,
"Label ""STD4800 Scanner""",
"Label ""LA2400 Scanner"""))</f>
        <v/>
      </c>
      <c r="J293" s="353"/>
      <c r="K293" s="353"/>
      <c r="L293" s="353"/>
      <c r="M293" s="353"/>
      <c r="N293" s="513"/>
      <c r="O293" s="513"/>
      <c r="P293" s="302"/>
      <c r="Q293" s="302"/>
    </row>
    <row r="294" spans="1:17" ht="18" customHeight="1" x14ac:dyDescent="0.2">
      <c r="A294" s="838"/>
      <c r="B294" s="332"/>
      <c r="C294" s="353" t="s">
        <v>279</v>
      </c>
      <c r="D294" s="514"/>
      <c r="E294" s="515" t="s">
        <v>280</v>
      </c>
      <c r="F294" s="515" t="s">
        <v>281</v>
      </c>
      <c r="G294" s="515" t="s">
        <v>282</v>
      </c>
      <c r="H294" s="515" t="s">
        <v>283</v>
      </c>
      <c r="I294" s="513"/>
      <c r="J294" s="513"/>
      <c r="K294" s="513"/>
      <c r="L294" s="513"/>
      <c r="M294" s="513"/>
      <c r="N294" s="513"/>
      <c r="O294" s="513"/>
      <c r="P294" s="302"/>
      <c r="Q294" s="302"/>
    </row>
    <row r="295" spans="1:17" ht="13.25" customHeight="1" x14ac:dyDescent="0.2">
      <c r="A295" s="601"/>
      <c r="B295" s="310"/>
      <c r="C295" s="395"/>
      <c r="D295" s="353"/>
      <c r="E295" s="353"/>
      <c r="F295" s="353"/>
      <c r="G295" s="353"/>
      <c r="H295" s="353"/>
      <c r="I295" s="353"/>
      <c r="J295" s="353"/>
      <c r="K295" s="353"/>
      <c r="L295" s="353"/>
      <c r="M295" s="353"/>
      <c r="N295" s="513"/>
      <c r="O295" s="513"/>
      <c r="P295" s="302"/>
      <c r="Q295" s="302"/>
    </row>
    <row r="296" spans="1:17" ht="18" customHeight="1" x14ac:dyDescent="0.2">
      <c r="A296" s="837" t="s">
        <v>278</v>
      </c>
      <c r="B296" s="333" t="s">
        <v>278</v>
      </c>
      <c r="C296"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296" s="353"/>
      <c r="E296" s="514"/>
      <c r="F296" s="514"/>
      <c r="G296" s="353"/>
      <c r="H296" s="41"/>
      <c r="I296" s="395" t="str">
        <f>IF(OR(RHIZO_IndexScanner=1,RHIZO_ClientWithOrWithoutScanner_ChkBox),
"",
"☐ Velcros pour TPU pin")</f>
        <v/>
      </c>
      <c r="J296" s="303"/>
      <c r="K296" s="395" t="str">
        <f>IF(RHIZO_IndexScanner=1,
"",
"☐ Root Posi. System LA, 2 de 3 (8 Blocs de couleur)")</f>
        <v>☐ Root Posi. System LA, 2 de 3 (8 Blocs de couleur)</v>
      </c>
      <c r="L296" s="514"/>
      <c r="M296" s="514"/>
      <c r="N296" s="513"/>
      <c r="O296" s="513"/>
      <c r="P296" s="302"/>
      <c r="Q296" s="302"/>
    </row>
    <row r="297" spans="1:17" ht="16.25" customHeight="1" x14ac:dyDescent="0.2">
      <c r="A297" s="837"/>
      <c r="B297" s="302"/>
      <c r="C297" s="395" t="str">
        <f>"☐ " &amp; IF(RHIZO_IndexScanner=1,
"Root Posi. System STD, 2 de 2 (Accessories Holder STD)",
"Root Posi. System LA, 3 de 3 (Accessories Holder LA)")</f>
        <v>☐ Root Posi. System LA, 3 de 3 (Accessories Holder LA)</v>
      </c>
      <c r="D297" s="514"/>
      <c r="E297" s="353"/>
      <c r="F297" s="353"/>
      <c r="G297" s="303"/>
      <c r="H297" s="395"/>
      <c r="I297" s="395" t="str">
        <f>"☐ " &amp; IF(RHIZO_IndexScanner=1,
"Label ""STD4800 Scanner""",
"Label ""LA2400 Scanner""")</f>
        <v>☐ Label "LA2400 Scanner"</v>
      </c>
      <c r="J297" s="514"/>
      <c r="K297" s="395" t="str">
        <f>"☐ " &amp; "Label ""Scanner Not Waterproof"""</f>
        <v>☐ Label "Scanner Not Waterproof"</v>
      </c>
      <c r="L297" s="514"/>
      <c r="M297" s="514"/>
      <c r="N297" s="513"/>
      <c r="O297" s="513"/>
      <c r="P297" s="302"/>
      <c r="Q297" s="302"/>
    </row>
    <row r="298" spans="1:17" ht="18" customHeight="1" x14ac:dyDescent="0.2">
      <c r="A298" s="600"/>
      <c r="B298" s="302"/>
      <c r="C298" s="395"/>
      <c r="D298" s="353"/>
      <c r="E298" s="353"/>
      <c r="F298" s="514"/>
      <c r="G298" s="513"/>
      <c r="H298" s="513"/>
      <c r="I298" s="514"/>
      <c r="J298" s="514"/>
      <c r="K298" s="515"/>
      <c r="L298" s="353"/>
      <c r="M298" s="353"/>
      <c r="N298" s="513"/>
      <c r="O298" s="513"/>
      <c r="P298" s="302"/>
      <c r="Q298" s="302"/>
    </row>
    <row r="299" spans="1:17" ht="16.25" customHeight="1" x14ac:dyDescent="0.2">
      <c r="A299" s="838" t="str">
        <f>"SCAN"&amp;_xlfn.AGGREGATE(3,7,$B$251,$B$255,$B$259,$B$263,$B$267,$B$271,$B$278,$B$285,$B$292)+1</f>
        <v>SCAN10</v>
      </c>
      <c r="B299" s="332" t="str">
        <f>"SCAN"&amp;_xlfn.AGGREGATE(3,7,$B$251,$B$255,$B$259,$B$263,$B$267,$B$271,$B$278,$B$285,$B$292)+1</f>
        <v>SCAN10</v>
      </c>
      <c r="C299" s="395" t="str">
        <f>IF(RHIZO_IndexScanner=1,"STD4800","LA2400")</f>
        <v>LA2400</v>
      </c>
      <c r="D299" s="511" t="str">
        <f>IF(RHIZO_IndexScanner=1,"V850","Exp13000")</f>
        <v>Exp13000</v>
      </c>
      <c r="E299" s="510"/>
      <c r="F299" s="395" t="s">
        <v>161</v>
      </c>
      <c r="G299" s="395" t="s">
        <v>743</v>
      </c>
      <c r="H299" s="353"/>
      <c r="I299" s="572" t="s">
        <v>321</v>
      </c>
      <c r="J299" s="512"/>
      <c r="K299" s="395" t="s">
        <v>161</v>
      </c>
      <c r="L299" s="353"/>
      <c r="M299" s="395"/>
      <c r="N299" s="513"/>
      <c r="O299" s="513"/>
      <c r="P299" s="302"/>
      <c r="Q299" s="302"/>
    </row>
    <row r="300" spans="1:17" ht="16.25" customHeight="1" x14ac:dyDescent="0.2">
      <c r="A300" s="838"/>
      <c r="B300" s="332"/>
      <c r="C300" s="395" t="s">
        <v>256</v>
      </c>
      <c r="D300" s="353"/>
      <c r="E300" s="395" t="s">
        <v>257</v>
      </c>
      <c r="F300" s="353" t="s">
        <v>286</v>
      </c>
      <c r="G300" s="303"/>
      <c r="H300" s="353"/>
      <c r="I300" s="395" t="str">
        <f>IF(N("Ne pas afficher label du scanner dans section scanner si présent déjà dans posi")+RHIZO_PosiOrBlueBG_Checkbox=1,"",
"☐ " &amp; IF(RHIZO_IndexScanner=1,
"Label ""STD4800 Scanner""",
"Label ""LA2400 Scanner"""))</f>
        <v/>
      </c>
      <c r="J300" s="353"/>
      <c r="K300" s="353"/>
      <c r="L300" s="353"/>
      <c r="M300" s="353"/>
      <c r="N300" s="513"/>
      <c r="O300" s="513"/>
      <c r="P300" s="302"/>
      <c r="Q300" s="302"/>
    </row>
    <row r="301" spans="1:17" ht="18" customHeight="1" x14ac:dyDescent="0.2">
      <c r="A301" s="838"/>
      <c r="B301" s="332"/>
      <c r="C301" s="353" t="s">
        <v>279</v>
      </c>
      <c r="D301" s="514"/>
      <c r="E301" s="515" t="s">
        <v>280</v>
      </c>
      <c r="F301" s="515" t="s">
        <v>281</v>
      </c>
      <c r="G301" s="515" t="s">
        <v>282</v>
      </c>
      <c r="H301" s="515" t="s">
        <v>283</v>
      </c>
      <c r="I301" s="513"/>
      <c r="J301" s="513"/>
      <c r="K301" s="513"/>
      <c r="L301" s="513"/>
      <c r="M301" s="513"/>
      <c r="N301" s="513"/>
      <c r="O301" s="513"/>
      <c r="P301" s="302"/>
      <c r="Q301" s="302"/>
    </row>
    <row r="302" spans="1:17" ht="13.25" customHeight="1" x14ac:dyDescent="0.2">
      <c r="A302" s="601"/>
      <c r="B302" s="310"/>
      <c r="C302" s="395"/>
      <c r="D302" s="353"/>
      <c r="E302" s="353"/>
      <c r="F302" s="353"/>
      <c r="G302" s="353"/>
      <c r="H302" s="353"/>
      <c r="I302" s="353"/>
      <c r="J302" s="353"/>
      <c r="K302" s="353"/>
      <c r="L302" s="353"/>
      <c r="M302" s="353"/>
      <c r="N302" s="513"/>
      <c r="O302" s="513"/>
      <c r="P302" s="302"/>
      <c r="Q302" s="302"/>
    </row>
    <row r="303" spans="1:17" ht="18" customHeight="1" x14ac:dyDescent="0.2">
      <c r="A303" s="837" t="s">
        <v>278</v>
      </c>
      <c r="B303" s="333" t="s">
        <v>278</v>
      </c>
      <c r="C303" s="395" t="str">
        <f>"☐ " &amp; IF(RHIZO_IndexScanner=1,
"Root Posi. System STD, 1 de 2 (Blue BG, Frame, 4 Blocs couleur, 3 Trays, Label Water only, Spacers)",
"Root Posi. System LA, 1 de 3 (Blue BG, Frame, 5 Trays, Label Water only, Spacers)")</f>
        <v>☐ Root Posi. System LA, 1 de 3 (Blue BG, Frame, 5 Trays, Label Water only, Spacers)</v>
      </c>
      <c r="D303" s="353"/>
      <c r="E303" s="514"/>
      <c r="F303" s="514"/>
      <c r="G303" s="353"/>
      <c r="H303" s="41"/>
      <c r="I303" s="395" t="str">
        <f>IF(OR(RHIZO_IndexScanner=1,RHIZO_ClientWithOrWithoutScanner_ChkBox),
"",
"☐ Velcros pour TPU pin")</f>
        <v/>
      </c>
      <c r="J303" s="303"/>
      <c r="K303" s="395" t="str">
        <f>IF(RHIZO_IndexScanner=1,
"",
"☐ Root Posi. System LA, 2 de 3 (8 Blocs de couleur)")</f>
        <v>☐ Root Posi. System LA, 2 de 3 (8 Blocs de couleur)</v>
      </c>
      <c r="L303" s="514"/>
      <c r="M303" s="514"/>
      <c r="N303" s="513"/>
      <c r="O303" s="513"/>
      <c r="P303" s="302"/>
      <c r="Q303" s="302"/>
    </row>
    <row r="304" spans="1:17" ht="16.25" customHeight="1" x14ac:dyDescent="0.2">
      <c r="A304" s="837"/>
      <c r="B304" s="302"/>
      <c r="C304" s="395" t="str">
        <f>"☐ " &amp; IF(RHIZO_IndexScanner=1,
"Root Posi. System STD, 2 de 2 (Accessories Holder STD)",
"Root Posi. System LA, 3 de 3 (Accessories Holder LA)")</f>
        <v>☐ Root Posi. System LA, 3 de 3 (Accessories Holder LA)</v>
      </c>
      <c r="D304" s="514"/>
      <c r="E304" s="353"/>
      <c r="F304" s="353"/>
      <c r="G304" s="303"/>
      <c r="H304" s="395"/>
      <c r="I304" s="395" t="str">
        <f>"☐ " &amp; IF(RHIZO_IndexScanner=1,
"Label ""STD4800 Scanner""",
"Label ""LA2400 Scanner""")</f>
        <v>☐ Label "LA2400 Scanner"</v>
      </c>
      <c r="J304" s="514"/>
      <c r="K304" s="395" t="str">
        <f>"☐ " &amp; "Label ""Scanner Not Waterproof"""</f>
        <v>☐ Label "Scanner Not Waterproof"</v>
      </c>
      <c r="L304" s="514"/>
      <c r="M304" s="514"/>
      <c r="N304" s="513"/>
      <c r="O304" s="513"/>
      <c r="P304" s="302"/>
      <c r="Q304" s="302"/>
    </row>
    <row r="305" spans="1:17" ht="18" customHeight="1" x14ac:dyDescent="0.2">
      <c r="A305" s="602"/>
      <c r="B305" s="341"/>
      <c r="C305" s="520"/>
      <c r="D305" s="520"/>
      <c r="E305" s="520"/>
      <c r="F305" s="520"/>
      <c r="G305" s="520"/>
      <c r="H305" s="521"/>
      <c r="I305" s="520"/>
      <c r="J305" s="520"/>
      <c r="K305" s="521"/>
      <c r="L305" s="520"/>
      <c r="M305" s="520"/>
      <c r="N305" s="520"/>
      <c r="O305" s="513"/>
      <c r="P305" s="302"/>
      <c r="Q305" s="302"/>
    </row>
    <row r="306" spans="1:17" ht="18" customHeight="1" x14ac:dyDescent="0.2">
      <c r="A306" s="839" t="str">
        <f>"SCAN"&amp;_xlfn.AGGREGATE(3,7,$B$251,$B$255,$B$259,$B$263,$B$267,$B$271,$B$278,$B$285,$B$292,$B$299)+1</f>
        <v>SCAN11</v>
      </c>
      <c r="B306" s="332" t="str">
        <f>"SCAN"&amp;_xlfn.AGGREGATE(3,7,$B$251,$B$255,$B$259,$B$263,$B$267,$B$271,$B$278,$B$285,$B$292,$B$299)+1</f>
        <v>SCAN11</v>
      </c>
      <c r="C306" s="395" t="str">
        <f>IF(FOLIA_IndexScanner=1,"STD4800",IF(FOLIA_IndexScanner=2,"LA2400","LC4800P"))</f>
        <v>STD4800</v>
      </c>
      <c r="D306" s="511" t="str">
        <f>IF(FOLIA_IndexScanner=1,"V850",IF(FOLIA_IndexScanner=2,"Exp13000","V39 II"))</f>
        <v>V850</v>
      </c>
      <c r="E306" s="510"/>
      <c r="F306" s="395" t="str">
        <f>IF(C306&lt;&gt;"LC4800P","☐ Tête barrée","")</f>
        <v>☐ Tête barrée</v>
      </c>
      <c r="G306" s="395" t="s">
        <v>743</v>
      </c>
      <c r="H306" s="353"/>
      <c r="I306" s="572" t="str">
        <f>IF(C306&lt;&gt;"LC4800P","TPU  S/N","")</f>
        <v>TPU  S/N</v>
      </c>
      <c r="J306" s="512"/>
      <c r="K306" s="395" t="str">
        <f>IF(C306&lt;&gt;"LC4800P","☐ Tête barrée","")</f>
        <v>☐ Tête barrée</v>
      </c>
      <c r="L306" s="353"/>
      <c r="M306" s="395"/>
      <c r="N306" s="513"/>
      <c r="O306" s="513"/>
      <c r="P306" s="302"/>
      <c r="Q306" s="302"/>
    </row>
    <row r="307" spans="1:17" ht="18" customHeight="1" x14ac:dyDescent="0.2">
      <c r="A307" s="839"/>
      <c r="B307" s="332"/>
      <c r="C307" s="395" t="s">
        <v>256</v>
      </c>
      <c r="D307" s="353"/>
      <c r="E307" s="395"/>
      <c r="F307" s="395" t="str">
        <f>"☐ Fond Bleu " &amp; IF(FOLIA_IndexScanner=1,"STD",IF(FOLIA_IndexScanner=2,"LA","LC"))</f>
        <v>☐ Fond Bleu STD</v>
      </c>
      <c r="G307" s="395" t="str">
        <f>IF(C306&lt;&gt;"LC4800P","☐ Slides holders","")</f>
        <v>☐ Slides holders</v>
      </c>
      <c r="H307" s="353"/>
      <c r="I307" s="395" t="str">
        <f>"☐ " &amp; IF(FOLIA_IndexScanner=1,
"Label ""STD4800 Scanner""",
"Label ""LA2400 Scanner""")</f>
        <v>☐ Label "STD4800 Scanner"</v>
      </c>
      <c r="J307" s="303"/>
      <c r="K307" s="353"/>
      <c r="L307" s="353"/>
      <c r="M307" s="353"/>
      <c r="N307" s="513"/>
      <c r="O307" s="513"/>
      <c r="P307" s="302"/>
      <c r="Q307" s="302"/>
    </row>
    <row r="308" spans="1:17" ht="18" customHeight="1" x14ac:dyDescent="0.2">
      <c r="A308" s="839"/>
      <c r="B308" s="332"/>
      <c r="C308" s="353" t="str">
        <f>IF(C306&lt;&gt;"LC4800P","☐ 110V","")</f>
        <v>☐ 110V</v>
      </c>
      <c r="D308" s="514"/>
      <c r="E308" s="515" t="str">
        <f>IF(C306&lt;&gt;"LC4800P","220V : ☐ C","")</f>
        <v>220V : ☐ C</v>
      </c>
      <c r="F308" s="515" t="str">
        <f>IF(C306&lt;&gt;"LC4800P","☐ G","")</f>
        <v>☐ G</v>
      </c>
      <c r="G308" s="515" t="str">
        <f>IF(C306&lt;&gt;"LC4800P","☐ I","")</f>
        <v>☐ I</v>
      </c>
      <c r="H308" s="515" t="str">
        <f>IF(C306&lt;&gt;"LC4800P","☐ E","")</f>
        <v>☐ E</v>
      </c>
      <c r="I308" s="513"/>
      <c r="J308" s="513"/>
      <c r="K308" s="513"/>
      <c r="L308" s="513"/>
      <c r="M308" s="513"/>
      <c r="N308" s="513"/>
      <c r="O308" s="513"/>
      <c r="P308" s="302"/>
      <c r="Q308" s="302"/>
    </row>
    <row r="309" spans="1:17" ht="13.25" customHeight="1" x14ac:dyDescent="0.2">
      <c r="A309" s="603"/>
      <c r="B309" s="310"/>
      <c r="C309" s="395"/>
      <c r="D309" s="395"/>
      <c r="E309" s="395"/>
      <c r="F309" s="395"/>
      <c r="G309" s="395"/>
      <c r="H309" s="395"/>
      <c r="I309" s="395"/>
      <c r="J309" s="395"/>
      <c r="K309" s="395"/>
      <c r="L309" s="395"/>
      <c r="M309" s="353"/>
      <c r="N309" s="513"/>
      <c r="O309" s="513"/>
      <c r="P309" s="302"/>
      <c r="Q309" s="302"/>
    </row>
    <row r="310" spans="1:17" ht="18" customHeight="1" x14ac:dyDescent="0.2">
      <c r="A310" s="840" t="str">
        <f>"SCAN"&amp;_xlfn.AGGREGATE(3,7,$B$251,$B$255,$B$259,$B$263,$B$267,$B$271,$B$278,$B$285,$B$292,$B$299,$B$306)+1</f>
        <v>SCAN12</v>
      </c>
      <c r="B310" s="332" t="str">
        <f>"SCAN"&amp;_xlfn.AGGREGATE(3,7,$B$251,$B$255,$B$259,$B$263,$B$267,$B$271,$B$278,$B$285,$B$292,$B$299,$B$306)+1</f>
        <v>SCAN12</v>
      </c>
      <c r="C310" s="395" t="str">
        <f>IF(FOLIA_IndexScanner=1,"STD4800",IF(FOLIA_IndexScanner=2,"LA2400","LC4800P"))</f>
        <v>STD4800</v>
      </c>
      <c r="D310" s="511" t="str">
        <f>IF(FOLIA_IndexScanner=1,"V850",IF(FOLIA_IndexScanner=2,"Exp13000","V39 II"))</f>
        <v>V850</v>
      </c>
      <c r="E310" s="510"/>
      <c r="F310" s="395" t="str">
        <f>IF(C310&lt;&gt;"LC4800P","☐ Tête barrée","")</f>
        <v>☐ Tête barrée</v>
      </c>
      <c r="G310" s="395" t="s">
        <v>743</v>
      </c>
      <c r="H310" s="353"/>
      <c r="I310" s="572" t="str">
        <f>IF(C310&lt;&gt;"LC4800P","TPU  S/N","")</f>
        <v>TPU  S/N</v>
      </c>
      <c r="J310" s="512"/>
      <c r="K310" s="395" t="str">
        <f>IF(C310&lt;&gt;"LC4800P","☐ Tête barrée","")</f>
        <v>☐ Tête barrée</v>
      </c>
      <c r="L310" s="353"/>
      <c r="M310" s="395"/>
      <c r="N310" s="513"/>
      <c r="O310" s="513"/>
      <c r="P310" s="302"/>
      <c r="Q310" s="302"/>
    </row>
    <row r="311" spans="1:17" ht="18" customHeight="1" x14ac:dyDescent="0.2">
      <c r="A311" s="840"/>
      <c r="B311" s="332"/>
      <c r="C311" s="395" t="s">
        <v>256</v>
      </c>
      <c r="D311" s="353"/>
      <c r="E311" s="395"/>
      <c r="F311" s="395" t="str">
        <f>"☐ Fond Bleu " &amp; IF(FOLIA_IndexScanner=1,"STD",IF(FOLIA_IndexScanner=2,"LA","LC"))</f>
        <v>☐ Fond Bleu STD</v>
      </c>
      <c r="G311" s="395" t="str">
        <f>IF(C310&lt;&gt;"LC4800P","☐ Slides holders","")</f>
        <v>☐ Slides holders</v>
      </c>
      <c r="H311" s="353"/>
      <c r="I311" s="395" t="str">
        <f>"☐ " &amp; IF(FOLIA_IndexScanner=1,
"Label ""STD4800 Scanner""",
"Label ""LA2400 Scanner""")</f>
        <v>☐ Label "STD4800 Scanner"</v>
      </c>
      <c r="J311" s="395"/>
      <c r="K311" s="353"/>
      <c r="L311" s="353"/>
      <c r="M311" s="353"/>
      <c r="N311" s="513"/>
      <c r="O311" s="513"/>
      <c r="P311" s="302"/>
      <c r="Q311" s="302"/>
    </row>
    <row r="312" spans="1:17" ht="18" customHeight="1" x14ac:dyDescent="0.2">
      <c r="A312" s="840"/>
      <c r="B312" s="332"/>
      <c r="C312" s="353" t="str">
        <f>IF(C310&lt;&gt;"LC4800P","☐ 110V","")</f>
        <v>☐ 110V</v>
      </c>
      <c r="D312" s="514"/>
      <c r="E312" s="515" t="str">
        <f>IF(C310&lt;&gt;"LC4800P","220V : ☐ C","")</f>
        <v>220V : ☐ C</v>
      </c>
      <c r="F312" s="515" t="str">
        <f>IF(C310&lt;&gt;"LC4800P","☐ G","")</f>
        <v>☐ G</v>
      </c>
      <c r="G312" s="515" t="str">
        <f>IF(C310&lt;&gt;"LC4800P","☐ I","")</f>
        <v>☐ I</v>
      </c>
      <c r="H312" s="515" t="str">
        <f>IF(C310&lt;&gt;"LC4800P","☐ E","")</f>
        <v>☐ E</v>
      </c>
      <c r="I312" s="513"/>
      <c r="J312" s="513"/>
      <c r="K312" s="513"/>
      <c r="L312" s="513"/>
      <c r="M312" s="513"/>
      <c r="N312" s="513"/>
      <c r="O312" s="513"/>
      <c r="P312" s="302"/>
      <c r="Q312" s="302"/>
    </row>
    <row r="313" spans="1:17" ht="18" customHeight="1" x14ac:dyDescent="0.2">
      <c r="A313" s="603"/>
      <c r="B313" s="310"/>
      <c r="C313" s="395"/>
      <c r="D313" s="395"/>
      <c r="E313" s="395"/>
      <c r="F313" s="395"/>
      <c r="G313" s="395"/>
      <c r="H313" s="395"/>
      <c r="I313" s="395"/>
      <c r="J313" s="395"/>
      <c r="K313" s="395"/>
      <c r="L313" s="395"/>
      <c r="M313" s="353"/>
      <c r="N313" s="513"/>
      <c r="O313" s="513"/>
      <c r="P313" s="302"/>
      <c r="Q313" s="302"/>
    </row>
    <row r="314" spans="1:17" ht="18" customHeight="1" x14ac:dyDescent="0.2">
      <c r="A314" s="840" t="str">
        <f>"SCAN"&amp;_xlfn.AGGREGATE(3,7,$B$251,$B$255,$B$259,$B$263,$B$267,$B$271,$B$278,$B$285,$B$292,$B$299,$B$306,$B$310)+1</f>
        <v>SCAN13</v>
      </c>
      <c r="B314" s="332" t="str">
        <f>"SCAN"&amp;_xlfn.AGGREGATE(3,7,$B$251,$B$255,$B$259,$B$263,$B$267,$B$271,$B$278,$B$285,$B$292,$B$299,$B$306,$B$310)+1</f>
        <v>SCAN13</v>
      </c>
      <c r="C314" s="395" t="str">
        <f>IF(FOLIA_IndexScanner=1,"STD4800",IF(FOLIA_IndexScanner=2,"LA2400","LC4800P"))</f>
        <v>STD4800</v>
      </c>
      <c r="D314" s="511" t="str">
        <f>IF(FOLIA_IndexScanner=1,"V850",IF(FOLIA_IndexScanner=2,"Exp13000","V39 II"))</f>
        <v>V850</v>
      </c>
      <c r="E314" s="510"/>
      <c r="F314" s="395" t="str">
        <f>IF(C314&lt;&gt;"LC4800P","☐ Tête barrée","")</f>
        <v>☐ Tête barrée</v>
      </c>
      <c r="G314" s="395" t="s">
        <v>743</v>
      </c>
      <c r="H314" s="353"/>
      <c r="I314" s="572" t="str">
        <f>IF(C314&lt;&gt;"LC4800P","TPU  S/N","")</f>
        <v>TPU  S/N</v>
      </c>
      <c r="J314" s="512"/>
      <c r="K314" s="395" t="str">
        <f>IF(C314&lt;&gt;"LC4800P","☐ Tête barrée","")</f>
        <v>☐ Tête barrée</v>
      </c>
      <c r="L314" s="353"/>
      <c r="M314" s="395"/>
      <c r="N314" s="513"/>
      <c r="O314" s="513"/>
      <c r="P314" s="302"/>
      <c r="Q314" s="302"/>
    </row>
    <row r="315" spans="1:17" ht="18" customHeight="1" x14ac:dyDescent="0.2">
      <c r="A315" s="840"/>
      <c r="B315" s="332"/>
      <c r="C315" s="395" t="s">
        <v>256</v>
      </c>
      <c r="D315" s="353"/>
      <c r="E315" s="395"/>
      <c r="F315" s="395" t="str">
        <f>"☐ Fond Bleu " &amp; IF(FOLIA_IndexScanner=1,"STD",IF(FOLIA_IndexScanner=2,"LA","LC"))</f>
        <v>☐ Fond Bleu STD</v>
      </c>
      <c r="G315" s="395" t="str">
        <f>IF(C314&lt;&gt;"LC4800P","☐ Slides holders","")</f>
        <v>☐ Slides holders</v>
      </c>
      <c r="H315" s="353"/>
      <c r="I315" s="395" t="str">
        <f>"☐ " &amp; IF(FOLIA_IndexScanner=1,
"Label ""STD4800 Scanner""",
"Label ""LA2400 Scanner""")</f>
        <v>☐ Label "STD4800 Scanner"</v>
      </c>
      <c r="J315" s="395"/>
      <c r="K315" s="353"/>
      <c r="L315" s="353"/>
      <c r="M315" s="353"/>
      <c r="N315" s="513"/>
      <c r="O315" s="513"/>
      <c r="P315" s="302"/>
      <c r="Q315" s="302"/>
    </row>
    <row r="316" spans="1:17" ht="18" customHeight="1" x14ac:dyDescent="0.2">
      <c r="A316" s="840"/>
      <c r="B316" s="332"/>
      <c r="C316" s="353" t="str">
        <f>IF(C314&lt;&gt;"LC4800P","☐ 110V","")</f>
        <v>☐ 110V</v>
      </c>
      <c r="D316" s="514"/>
      <c r="E316" s="515" t="str">
        <f>IF(C314&lt;&gt;"LC4800P","220V : ☐ C","")</f>
        <v>220V : ☐ C</v>
      </c>
      <c r="F316" s="515" t="str">
        <f>IF(C314&lt;&gt;"LC4800P","☐ G","")</f>
        <v>☐ G</v>
      </c>
      <c r="G316" s="515" t="str">
        <f>IF(C314&lt;&gt;"LC4800P","☐ I","")</f>
        <v>☐ I</v>
      </c>
      <c r="H316" s="515" t="str">
        <f>IF(C314&lt;&gt;"LC4800P","☐ E","")</f>
        <v>☐ E</v>
      </c>
      <c r="I316" s="513"/>
      <c r="J316" s="513"/>
      <c r="K316" s="513"/>
      <c r="L316" s="513"/>
      <c r="M316" s="513"/>
      <c r="N316" s="513"/>
      <c r="O316" s="513"/>
      <c r="P316" s="302"/>
      <c r="Q316" s="302"/>
    </row>
    <row r="317" spans="1:17" ht="18" customHeight="1" x14ac:dyDescent="0.2">
      <c r="A317" s="603"/>
      <c r="B317" s="310"/>
      <c r="C317" s="395"/>
      <c r="D317" s="395"/>
      <c r="E317" s="395"/>
      <c r="F317" s="395"/>
      <c r="G317" s="395"/>
      <c r="H317" s="395"/>
      <c r="I317" s="395"/>
      <c r="J317" s="395"/>
      <c r="K317" s="395"/>
      <c r="L317" s="395"/>
      <c r="M317" s="353"/>
      <c r="N317" s="513"/>
      <c r="O317" s="513"/>
      <c r="P317" s="302"/>
      <c r="Q317" s="302"/>
    </row>
    <row r="318" spans="1:17" ht="18" customHeight="1" x14ac:dyDescent="0.2">
      <c r="A318" s="840" t="str">
        <f>"SCAN"&amp;_xlfn.AGGREGATE(3,7,$B$251,$B$255,$B$259,$B$263,$B$267,$B$271,$B$278,$B$285,$B$292,$B$299,$B$306,$B$310,$B$314)+1</f>
        <v>SCAN14</v>
      </c>
      <c r="B318" s="332" t="str">
        <f>"SCAN"&amp;_xlfn.AGGREGATE(3,7,$B$251,$B$255,$B$259,$B$263,$B$267,$B$271,$B$278,$B$285,$B$292,$B$299,$B$306,$B$310,$B$314)+1</f>
        <v>SCAN14</v>
      </c>
      <c r="C318" s="395" t="str">
        <f>IF(FOLIA_IndexScanner=1,"STD4800",IF(FOLIA_IndexScanner=2,"LA2400","LC4800P"))</f>
        <v>STD4800</v>
      </c>
      <c r="D318" s="511" t="str">
        <f>IF(FOLIA_IndexScanner=1,"V850",IF(FOLIA_IndexScanner=2,"Exp13000","V39 II"))</f>
        <v>V850</v>
      </c>
      <c r="E318" s="510"/>
      <c r="F318" s="395" t="str">
        <f>IF(C318&lt;&gt;"LC4800P","☐ Tête barrée","")</f>
        <v>☐ Tête barrée</v>
      </c>
      <c r="G318" s="395" t="s">
        <v>743</v>
      </c>
      <c r="H318" s="353"/>
      <c r="I318" s="572" t="str">
        <f>IF(C318&lt;&gt;"LC4800P","TPU  S/N","")</f>
        <v>TPU  S/N</v>
      </c>
      <c r="J318" s="512"/>
      <c r="K318" s="395" t="str">
        <f>IF(C318&lt;&gt;"LC4800P","☐ Tête barrée","")</f>
        <v>☐ Tête barrée</v>
      </c>
      <c r="L318" s="353"/>
      <c r="M318" s="395"/>
      <c r="N318" s="513"/>
      <c r="O318" s="513"/>
      <c r="P318" s="302"/>
      <c r="Q318" s="302"/>
    </row>
    <row r="319" spans="1:17" ht="18" customHeight="1" x14ac:dyDescent="0.2">
      <c r="A319" s="840"/>
      <c r="B319" s="332"/>
      <c r="C319" s="395" t="s">
        <v>256</v>
      </c>
      <c r="D319" s="353"/>
      <c r="E319" s="395"/>
      <c r="F319" s="395" t="str">
        <f>"☐ Fond Bleu " &amp; IF(FOLIA_IndexScanner=1,"STD",IF(FOLIA_IndexScanner=2,"LA","LC"))</f>
        <v>☐ Fond Bleu STD</v>
      </c>
      <c r="G319" s="395" t="str">
        <f>IF(C318&lt;&gt;"LC4800P","☐ Slides holders","")</f>
        <v>☐ Slides holders</v>
      </c>
      <c r="H319" s="353"/>
      <c r="I319" s="395" t="str">
        <f>"☐ " &amp; IF(FOLIA_IndexScanner=1,
"Label ""STD4800 Scanner""",
"Label ""LA2400 Scanner""")</f>
        <v>☐ Label "STD4800 Scanner"</v>
      </c>
      <c r="J319" s="395"/>
      <c r="K319" s="353"/>
      <c r="L319" s="353"/>
      <c r="M319" s="353"/>
      <c r="N319" s="513"/>
      <c r="O319" s="513"/>
      <c r="P319" s="302"/>
      <c r="Q319" s="302"/>
    </row>
    <row r="320" spans="1:17" ht="18" customHeight="1" x14ac:dyDescent="0.2">
      <c r="A320" s="840"/>
      <c r="B320" s="332"/>
      <c r="C320" s="353" t="str">
        <f>IF(C318&lt;&gt;"LC4800P","☐ 110V","")</f>
        <v>☐ 110V</v>
      </c>
      <c r="D320" s="514"/>
      <c r="E320" s="515" t="str">
        <f>IF(C318&lt;&gt;"LC4800P","220V : ☐ C","")</f>
        <v>220V : ☐ C</v>
      </c>
      <c r="F320" s="515" t="str">
        <f>IF(C318&lt;&gt;"LC4800P","☐ G","")</f>
        <v>☐ G</v>
      </c>
      <c r="G320" s="515" t="str">
        <f>IF(C318&lt;&gt;"LC4800P","☐ I","")</f>
        <v>☐ I</v>
      </c>
      <c r="H320" s="515" t="str">
        <f>IF(C318&lt;&gt;"LC4800P","☐ E","")</f>
        <v>☐ E</v>
      </c>
      <c r="I320" s="513"/>
      <c r="J320" s="513"/>
      <c r="K320" s="513"/>
      <c r="L320" s="513"/>
      <c r="M320" s="513"/>
      <c r="N320" s="513"/>
      <c r="O320" s="513"/>
      <c r="P320" s="302"/>
      <c r="Q320" s="302"/>
    </row>
    <row r="321" spans="1:17" ht="18" customHeight="1" x14ac:dyDescent="0.2">
      <c r="A321" s="603"/>
      <c r="B321" s="310"/>
      <c r="C321" s="395"/>
      <c r="D321" s="395"/>
      <c r="E321" s="395"/>
      <c r="F321" s="395"/>
      <c r="G321" s="395"/>
      <c r="H321" s="395"/>
      <c r="I321" s="395"/>
      <c r="J321" s="395"/>
      <c r="K321" s="395"/>
      <c r="L321" s="395"/>
      <c r="M321" s="353"/>
      <c r="N321" s="513"/>
      <c r="O321" s="513"/>
      <c r="P321" s="302"/>
      <c r="Q321" s="302"/>
    </row>
    <row r="322" spans="1:17" ht="18" customHeight="1" x14ac:dyDescent="0.2">
      <c r="A322" s="840" t="str">
        <f>"SCAN"&amp;_xlfn.AGGREGATE(3,7,$B$251,$B$255,$B$259,$B$263,$B$267,$B$271,$B$278,$B$285,$B$292,$B$299,$B$306,$B$310,$B$314,$B$318)+1</f>
        <v>SCAN15</v>
      </c>
      <c r="B322" s="332" t="str">
        <f>"SCAN"&amp;_xlfn.AGGREGATE(3,7,$B$251,$B$255,$B$259,$B$263,$B$267,$B$271,$B$278,$B$285,$B$292,$B$299,$B$306,$B$310,$B$314,$B$318)+1</f>
        <v>SCAN15</v>
      </c>
      <c r="C322" s="395" t="str">
        <f>IF(FOLIA_IndexScanner=1,"STD4800",IF(FOLIA_IndexScanner=2,"LA2400","LC4800P"))</f>
        <v>STD4800</v>
      </c>
      <c r="D322" s="511" t="str">
        <f>IF(FOLIA_IndexScanner=1,"V850",IF(FOLIA_IndexScanner=2,"Exp13000","V39 II"))</f>
        <v>V850</v>
      </c>
      <c r="E322" s="510"/>
      <c r="F322" s="395" t="str">
        <f>IF(C322&lt;&gt;"LC4800P","☐ Tête barrée","")</f>
        <v>☐ Tête barrée</v>
      </c>
      <c r="G322" s="395" t="s">
        <v>743</v>
      </c>
      <c r="H322" s="353"/>
      <c r="I322" s="572" t="str">
        <f>IF(C322&lt;&gt;"LC4800P","TPU  S/N","")</f>
        <v>TPU  S/N</v>
      </c>
      <c r="J322" s="512"/>
      <c r="K322" s="395" t="str">
        <f>IF(C322&lt;&gt;"LC4800P","☐ Tête barrée","")</f>
        <v>☐ Tête barrée</v>
      </c>
      <c r="L322" s="353"/>
      <c r="M322" s="395"/>
      <c r="N322" s="513"/>
      <c r="O322" s="513"/>
      <c r="P322" s="302"/>
      <c r="Q322" s="302"/>
    </row>
    <row r="323" spans="1:17" ht="18" customHeight="1" x14ac:dyDescent="0.2">
      <c r="A323" s="840"/>
      <c r="B323" s="332"/>
      <c r="C323" s="395" t="s">
        <v>256</v>
      </c>
      <c r="D323" s="353"/>
      <c r="E323" s="395"/>
      <c r="F323" s="395" t="str">
        <f>"☐ Fond Bleu " &amp; IF(FOLIA_IndexScanner=1,"STD",IF(FOLIA_IndexScanner=2,"LA","LC"))</f>
        <v>☐ Fond Bleu STD</v>
      </c>
      <c r="G323" s="395" t="str">
        <f>IF(C322&lt;&gt;"LC4800P","☐ Slides holders","")</f>
        <v>☐ Slides holders</v>
      </c>
      <c r="H323" s="353"/>
      <c r="I323" s="395" t="str">
        <f>"☐ " &amp; IF(FOLIA_IndexScanner=1,
"Label ""STD4800 Scanner""",
"Label ""LA2400 Scanner""")</f>
        <v>☐ Label "STD4800 Scanner"</v>
      </c>
      <c r="J323" s="395"/>
      <c r="K323" s="353"/>
      <c r="L323" s="353"/>
      <c r="M323" s="353"/>
      <c r="N323" s="513"/>
      <c r="O323" s="513"/>
      <c r="P323" s="302"/>
      <c r="Q323" s="302"/>
    </row>
    <row r="324" spans="1:17" ht="18" customHeight="1" x14ac:dyDescent="0.2">
      <c r="A324" s="840"/>
      <c r="B324" s="332"/>
      <c r="C324" s="353" t="str">
        <f>IF(C322&lt;&gt;"LC4800P","☐ 110V","")</f>
        <v>☐ 110V</v>
      </c>
      <c r="D324" s="514"/>
      <c r="E324" s="515" t="str">
        <f>IF(C322&lt;&gt;"LC4800P","220V : ☐ C","")</f>
        <v>220V : ☐ C</v>
      </c>
      <c r="F324" s="515" t="str">
        <f>IF(C322&lt;&gt;"LC4800P","☐ G","")</f>
        <v>☐ G</v>
      </c>
      <c r="G324" s="515" t="str">
        <f>IF(C322&lt;&gt;"LC4800P","☐ I","")</f>
        <v>☐ I</v>
      </c>
      <c r="H324" s="515" t="str">
        <f>IF(C322&lt;&gt;"LC4800P","☐ E","")</f>
        <v>☐ E</v>
      </c>
      <c r="I324" s="513"/>
      <c r="J324" s="513"/>
      <c r="K324" s="513"/>
      <c r="L324" s="513"/>
      <c r="M324" s="513"/>
      <c r="N324" s="513"/>
      <c r="O324" s="513"/>
      <c r="P324" s="302"/>
      <c r="Q324" s="302"/>
    </row>
    <row r="325" spans="1:17" ht="18" customHeight="1" x14ac:dyDescent="0.2">
      <c r="A325" s="557"/>
      <c r="B325" s="336"/>
      <c r="C325" s="522"/>
      <c r="D325" s="522"/>
      <c r="E325" s="522"/>
      <c r="F325" s="522"/>
      <c r="G325" s="522"/>
      <c r="H325" s="523"/>
      <c r="I325" s="523"/>
      <c r="J325" s="523"/>
      <c r="K325" s="522"/>
      <c r="L325" s="523"/>
      <c r="M325" s="522"/>
      <c r="N325" s="522"/>
      <c r="O325" s="513"/>
      <c r="P325" s="302"/>
      <c r="Q325" s="302"/>
    </row>
    <row r="326" spans="1:17" ht="16.25" customHeight="1" x14ac:dyDescent="0.2">
      <c r="A326" s="822" t="str">
        <f>"SCAN"&amp;_xlfn.AGGREGATE(3,7,$B$251,$B$255,$B$259,$B$263,$B$267,$B$271,$B$278,$B$285,$B$292,$B$299,$B$306,$B$310,$B$314,$B$318,$B$322)+1</f>
        <v>SCAN16</v>
      </c>
      <c r="B326" s="332" t="str">
        <f>"SCAN"&amp;_xlfn.AGGREGATE(3,7,$B$251,$B$255,$B$259,$B$263,$B$267,$B$271,$B$278,$B$285,$B$292,$B$299,$B$306,$B$310,$B$314,$B$318,$B$322)+1</f>
        <v>SCAN16</v>
      </c>
      <c r="C326" s="395" t="str">
        <f>IF(SEEDLE_IndexScanner=1,"STD4800","LA2400")</f>
        <v>STD4800</v>
      </c>
      <c r="D326" s="511" t="str">
        <f>IF(SEEDLE_IndexScanner=1,"V850","Exp13000")</f>
        <v>V850</v>
      </c>
      <c r="E326" s="510"/>
      <c r="F326" s="395" t="s">
        <v>161</v>
      </c>
      <c r="G326" s="395" t="s">
        <v>743</v>
      </c>
      <c r="H326" s="353"/>
      <c r="I326" s="572" t="s">
        <v>321</v>
      </c>
      <c r="J326" s="512"/>
      <c r="K326" s="395" t="s">
        <v>161</v>
      </c>
      <c r="L326" s="353"/>
      <c r="M326" s="395"/>
      <c r="N326" s="513"/>
      <c r="O326" s="513"/>
      <c r="P326" s="302"/>
      <c r="Q326" s="302"/>
    </row>
    <row r="327" spans="1:17" ht="18" customHeight="1" x14ac:dyDescent="0.2">
      <c r="A327" s="822"/>
      <c r="B327" s="332"/>
      <c r="C327" s="395" t="s">
        <v>256</v>
      </c>
      <c r="D327" s="353"/>
      <c r="E327" s="395" t="s">
        <v>257</v>
      </c>
      <c r="F327" s="353" t="s">
        <v>286</v>
      </c>
      <c r="G327" s="303"/>
      <c r="H327" s="395"/>
      <c r="I327" s="395" t="str">
        <f>IF(N("Ne pas afficher label du scanner dans section scanner si présent déjà dans posi")+SEEDLE_PosiOrBlueBG_Checkbox=1,"",
"☐ " &amp; IF(SEEDLE_IndexScanner=1,
"Label ""STD4800 Scanner""",
"Label ""LA2400 Scanner"""))</f>
        <v>☐ Label "STD4800 Scanner"</v>
      </c>
      <c r="J327" s="353"/>
      <c r="K327" s="353"/>
      <c r="L327" s="353"/>
      <c r="M327" s="353"/>
      <c r="N327" s="513"/>
      <c r="O327" s="513"/>
      <c r="P327" s="302"/>
      <c r="Q327" s="302"/>
    </row>
    <row r="328" spans="1:17" ht="18" customHeight="1" x14ac:dyDescent="0.2">
      <c r="A328" s="822"/>
      <c r="B328" s="332"/>
      <c r="C328" s="353" t="s">
        <v>279</v>
      </c>
      <c r="D328" s="514"/>
      <c r="E328" s="515" t="s">
        <v>280</v>
      </c>
      <c r="F328" s="515" t="s">
        <v>281</v>
      </c>
      <c r="G328" s="515" t="s">
        <v>282</v>
      </c>
      <c r="H328" s="515" t="s">
        <v>283</v>
      </c>
      <c r="I328" s="513"/>
      <c r="J328" s="513"/>
      <c r="K328" s="513"/>
      <c r="L328" s="513"/>
      <c r="M328" s="513"/>
      <c r="N328" s="513"/>
      <c r="O328" s="513"/>
      <c r="P328" s="302"/>
      <c r="Q328" s="302"/>
    </row>
    <row r="329" spans="1:17" ht="13.25" customHeight="1" x14ac:dyDescent="0.2">
      <c r="A329" s="595"/>
      <c r="B329" s="310"/>
      <c r="C329" s="395"/>
      <c r="D329" s="353"/>
      <c r="E329" s="353"/>
      <c r="F329" s="353"/>
      <c r="G329" s="353"/>
      <c r="H329" s="353"/>
      <c r="I329" s="353"/>
      <c r="J329" s="353"/>
      <c r="K329" s="353"/>
      <c r="L329" s="353"/>
      <c r="M329" s="353"/>
      <c r="N329" s="513"/>
      <c r="O329" s="513"/>
      <c r="P329" s="302"/>
      <c r="Q329" s="302"/>
    </row>
    <row r="330" spans="1:17" ht="18" customHeight="1" x14ac:dyDescent="0.2">
      <c r="A330" s="822" t="s">
        <v>278</v>
      </c>
      <c r="B330" s="333" t="s">
        <v>278</v>
      </c>
      <c r="C330"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30" s="353"/>
      <c r="E330" s="514"/>
      <c r="F330" s="514"/>
      <c r="G330" s="353"/>
      <c r="H330" s="41"/>
      <c r="I330" s="395" t="str">
        <f>IF(OR(SEEDLE_IndexScanner=1,SEEDLE_ClientWithOrWithoutScanner_ChkBox),
"",
"☐ Velcros pour TPU pin")</f>
        <v/>
      </c>
      <c r="J330" s="303"/>
      <c r="K330" s="395" t="str">
        <f>IF(SEEDLE_IndexScanner=1,
"",
"☐ Root Posi. System LA, 2 de 3 (8 Blocs de couleur)")</f>
        <v/>
      </c>
      <c r="L330" s="514"/>
      <c r="M330" s="514"/>
      <c r="N330" s="513"/>
      <c r="O330" s="513"/>
      <c r="P330" s="302"/>
      <c r="Q330" s="302"/>
    </row>
    <row r="331" spans="1:17" ht="18" customHeight="1" x14ac:dyDescent="0.2">
      <c r="A331" s="822"/>
      <c r="B331" s="302"/>
      <c r="C331" s="395" t="str">
        <f>"☐ " &amp; IF(SEEDLE_IndexScanner=1,
"Root Posi. System STD, 2 de 2 (Accessories Holder STD)",
"Root Posi. System LA, 3 de 3 (Accessories Holder LA)")</f>
        <v>☐ Root Posi. System STD, 2 de 2 (Accessories Holder STD)</v>
      </c>
      <c r="D331" s="514"/>
      <c r="E331" s="353"/>
      <c r="F331" s="353" t="s">
        <v>286</v>
      </c>
      <c r="G331" s="395"/>
      <c r="H331" s="395"/>
      <c r="I331" s="395" t="str">
        <f>"☐ " &amp; IF(SEEDLE_IndexScanner=1,
"Label ""STD4800 Scanner""",
"Label ""LA2400 Scanner""")</f>
        <v>☐ Label "STD4800 Scanner"</v>
      </c>
      <c r="J331" s="514"/>
      <c r="K331" s="395" t="str">
        <f>"☐ " &amp; "Label ""Scanner Not Waterproof"""</f>
        <v>☐ Label "Scanner Not Waterproof"</v>
      </c>
      <c r="L331" s="514"/>
      <c r="M331" s="514"/>
      <c r="N331" s="513"/>
      <c r="O331" s="513"/>
      <c r="P331" s="302"/>
      <c r="Q331" s="302"/>
    </row>
    <row r="332" spans="1:17" ht="18" customHeight="1" x14ac:dyDescent="0.2">
      <c r="A332" s="595"/>
      <c r="B332" s="302"/>
      <c r="C332" s="395"/>
      <c r="D332" s="353"/>
      <c r="E332" s="353"/>
      <c r="F332" s="514"/>
      <c r="G332" s="513"/>
      <c r="H332" s="513"/>
      <c r="I332" s="514"/>
      <c r="J332" s="514"/>
      <c r="K332" s="515"/>
      <c r="L332" s="353"/>
      <c r="M332" s="353"/>
      <c r="N332" s="513"/>
      <c r="O332" s="513"/>
      <c r="P332" s="302"/>
      <c r="Q332" s="302"/>
    </row>
    <row r="333" spans="1:17" ht="16.25" customHeight="1" x14ac:dyDescent="0.2">
      <c r="A333" s="822" t="str">
        <f>"SCAN"&amp;_xlfn.AGGREGATE(3,7,$B$251,$B$255,$B$259,$B$263,$B$267,$B$271,$B$278,$B$285,$B$292,$B$299,$B$306,$B$310,$B$314,$B$318,$B$322,$B$326)+1</f>
        <v>SCAN17</v>
      </c>
      <c r="B333" s="332" t="str">
        <f>"SCAN"&amp;_xlfn.AGGREGATE(3,7,$B$251,$B$255,$B$259,$B$263,$B$267,$B$271,$B$278,$B$285,$B$292,$B$299,$B$306,$B$310,$B$314,$B$318,$B$322,$B$326)+1</f>
        <v>SCAN17</v>
      </c>
      <c r="C333" s="395" t="str">
        <f>IF(SEEDLE_IndexScanner=1,"STD4800","LA2400")</f>
        <v>STD4800</v>
      </c>
      <c r="D333" s="511" t="str">
        <f>IF(SEEDLE_IndexScanner=1,"V850","Exp13000")</f>
        <v>V850</v>
      </c>
      <c r="E333" s="510"/>
      <c r="F333" s="395" t="s">
        <v>161</v>
      </c>
      <c r="G333" s="395" t="s">
        <v>743</v>
      </c>
      <c r="H333" s="353"/>
      <c r="I333" s="572" t="s">
        <v>321</v>
      </c>
      <c r="J333" s="512"/>
      <c r="K333" s="395" t="s">
        <v>161</v>
      </c>
      <c r="L333" s="353"/>
      <c r="M333" s="395"/>
      <c r="N333" s="513"/>
      <c r="O333" s="513"/>
      <c r="P333" s="302"/>
      <c r="Q333" s="302"/>
    </row>
    <row r="334" spans="1:17" ht="18" customHeight="1" x14ac:dyDescent="0.2">
      <c r="A334" s="822"/>
      <c r="B334" s="332"/>
      <c r="C334" s="395" t="s">
        <v>256</v>
      </c>
      <c r="D334" s="353"/>
      <c r="E334" s="395" t="s">
        <v>257</v>
      </c>
      <c r="F334" s="353" t="s">
        <v>286</v>
      </c>
      <c r="G334" s="303"/>
      <c r="H334" s="353"/>
      <c r="I334" s="395" t="str">
        <f>IF(N("Ne pas afficher label du scanner dans section scanner si présent déjà dans posi")+SEEDLE_PosiOrBlueBG_Checkbox=1,"",
"☐ " &amp; IF(SEEDLE_IndexScanner=1,
"Label ""STD4800 Scanner""",
"Label ""LA2400 Scanner"""))</f>
        <v>☐ Label "STD4800 Scanner"</v>
      </c>
      <c r="J334" s="353"/>
      <c r="K334" s="353"/>
      <c r="L334" s="353"/>
      <c r="M334" s="353"/>
      <c r="N334" s="513"/>
      <c r="O334" s="513"/>
      <c r="P334" s="302"/>
      <c r="Q334" s="302"/>
    </row>
    <row r="335" spans="1:17" ht="18" customHeight="1" x14ac:dyDescent="0.2">
      <c r="A335" s="822"/>
      <c r="B335" s="332"/>
      <c r="C335" s="353" t="s">
        <v>279</v>
      </c>
      <c r="D335" s="514"/>
      <c r="E335" s="515" t="s">
        <v>280</v>
      </c>
      <c r="F335" s="515" t="s">
        <v>281</v>
      </c>
      <c r="G335" s="515" t="s">
        <v>282</v>
      </c>
      <c r="H335" s="515" t="s">
        <v>283</v>
      </c>
      <c r="I335" s="513"/>
      <c r="J335" s="513"/>
      <c r="K335" s="513"/>
      <c r="L335" s="513"/>
      <c r="M335" s="513"/>
      <c r="N335" s="513"/>
      <c r="O335" s="513"/>
      <c r="P335" s="302"/>
      <c r="Q335" s="302"/>
    </row>
    <row r="336" spans="1:17" ht="13.25" customHeight="1" x14ac:dyDescent="0.2">
      <c r="A336" s="595"/>
      <c r="B336" s="310"/>
      <c r="C336" s="395"/>
      <c r="D336" s="353"/>
      <c r="E336" s="353"/>
      <c r="F336" s="353"/>
      <c r="G336" s="353"/>
      <c r="H336" s="353"/>
      <c r="I336" s="353"/>
      <c r="J336" s="353"/>
      <c r="K336" s="353"/>
      <c r="L336" s="353"/>
      <c r="M336" s="353"/>
      <c r="N336" s="513"/>
      <c r="O336" s="513"/>
      <c r="P336" s="302"/>
      <c r="Q336" s="302"/>
    </row>
    <row r="337" spans="1:17" ht="18" customHeight="1" x14ac:dyDescent="0.2">
      <c r="A337" s="822" t="s">
        <v>278</v>
      </c>
      <c r="B337" s="333" t="s">
        <v>278</v>
      </c>
      <c r="C337"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37" s="353"/>
      <c r="E337" s="514"/>
      <c r="F337" s="514"/>
      <c r="G337" s="353"/>
      <c r="H337" s="395"/>
      <c r="I337" s="395" t="str">
        <f>IF(OR(SEEDLE_IndexScanner=1,SEEDLE_ClientWithOrWithoutScanner_ChkBox),
"",
"☐ Velcros pour TPU pin")</f>
        <v/>
      </c>
      <c r="J337" s="303"/>
      <c r="K337" s="395" t="str">
        <f>IF(SEEDLE_IndexScanner=1,
"",
"☐ Root Posi. System LA, 2 de 3 (8 Blocs de couleur)")</f>
        <v/>
      </c>
      <c r="L337" s="514"/>
      <c r="M337" s="514"/>
      <c r="N337" s="513"/>
      <c r="O337" s="513"/>
      <c r="P337" s="302"/>
      <c r="Q337" s="302"/>
    </row>
    <row r="338" spans="1:17" ht="18" customHeight="1" x14ac:dyDescent="0.2">
      <c r="A338" s="822"/>
      <c r="B338" s="302"/>
      <c r="C338" s="395" t="str">
        <f>"☐ " &amp; IF(SEEDLE_IndexScanner=1,
"Root Posi. System STD, 2 de 2 (Accessories Holder STD)",
"Root Posi. System LA, 3 de 3 (Accessories Holder LA)")</f>
        <v>☐ Root Posi. System STD, 2 de 2 (Accessories Holder STD)</v>
      </c>
      <c r="D338" s="514"/>
      <c r="E338" s="353"/>
      <c r="F338" s="353" t="s">
        <v>286</v>
      </c>
      <c r="G338" s="303"/>
      <c r="H338" s="353"/>
      <c r="I338" s="395" t="str">
        <f>"☐ " &amp; IF(SEEDLE_IndexScanner=1,
"Label ""STD4800 Scanner""",
"Label ""LA2400 Scanner""")</f>
        <v>☐ Label "STD4800 Scanner"</v>
      </c>
      <c r="J338" s="514"/>
      <c r="K338" s="395" t="str">
        <f>"☐ " &amp; "Label ""Scanner Not Waterproof"""</f>
        <v>☐ Label "Scanner Not Waterproof"</v>
      </c>
      <c r="L338" s="514"/>
      <c r="M338" s="514"/>
      <c r="N338" s="513"/>
      <c r="O338" s="513"/>
      <c r="P338" s="302"/>
      <c r="Q338" s="302"/>
    </row>
    <row r="339" spans="1:17" ht="18" customHeight="1" x14ac:dyDescent="0.2">
      <c r="A339" s="595"/>
      <c r="B339" s="302"/>
      <c r="C339" s="395"/>
      <c r="D339" s="353"/>
      <c r="E339" s="353"/>
      <c r="F339" s="514"/>
      <c r="G339" s="513"/>
      <c r="H339" s="513"/>
      <c r="I339" s="514"/>
      <c r="J339" s="514"/>
      <c r="K339" s="515"/>
      <c r="L339" s="353"/>
      <c r="M339" s="353"/>
      <c r="N339" s="513"/>
      <c r="O339" s="513"/>
      <c r="P339" s="302"/>
      <c r="Q339" s="302"/>
    </row>
    <row r="340" spans="1:17" ht="16.25" customHeight="1" x14ac:dyDescent="0.2">
      <c r="A340" s="822" t="str">
        <f>"SCAN"&amp;_xlfn.AGGREGATE(3,7,$B$251,$B$255,$B$259,$B$263,$B$267,$B$271,$B$278,$B$285,$B$292,$B$299,$B$306,$B$310,$B$314,$B$318,$B$322,$B$326,$B$333)+1</f>
        <v>SCAN18</v>
      </c>
      <c r="B340" s="332" t="str">
        <f>"SCAN"&amp;_xlfn.AGGREGATE(3,7,$B$251,$B$255,$B$259,$B$263,$B$267,$B$271,$B$278,$B$285,$B$292,$B$299,$B$306,$B$310,$B$314,$B$318,$B$322,$B$326,$B$333)+1</f>
        <v>SCAN18</v>
      </c>
      <c r="C340" s="395" t="str">
        <f>IF(SEEDLE_IndexScanner=1,"STD4800","LA2400")</f>
        <v>STD4800</v>
      </c>
      <c r="D340" s="511" t="str">
        <f>IF(SEEDLE_IndexScanner=1,"V850","Exp13000")</f>
        <v>V850</v>
      </c>
      <c r="E340" s="510"/>
      <c r="F340" s="395" t="s">
        <v>161</v>
      </c>
      <c r="G340" s="395" t="s">
        <v>743</v>
      </c>
      <c r="H340" s="353"/>
      <c r="I340" s="572" t="s">
        <v>321</v>
      </c>
      <c r="J340" s="512"/>
      <c r="K340" s="395" t="s">
        <v>161</v>
      </c>
      <c r="L340" s="353"/>
      <c r="M340" s="395"/>
      <c r="N340" s="513"/>
      <c r="O340" s="513"/>
      <c r="P340" s="302"/>
      <c r="Q340" s="302"/>
    </row>
    <row r="341" spans="1:17" ht="18" customHeight="1" x14ac:dyDescent="0.2">
      <c r="A341" s="822"/>
      <c r="B341" s="332"/>
      <c r="C341" s="395" t="s">
        <v>256</v>
      </c>
      <c r="D341" s="353"/>
      <c r="E341" s="395" t="s">
        <v>257</v>
      </c>
      <c r="F341" s="353" t="s">
        <v>286</v>
      </c>
      <c r="G341" s="303"/>
      <c r="H341" s="353"/>
      <c r="I341" s="395" t="str">
        <f>IF(N("Ne pas afficher label du scanner dans section scanner si présent déjà dans posi")+SEEDLE_PosiOrBlueBG_Checkbox=1,"",
"☐ " &amp; IF(SEEDLE_IndexScanner=1,
"Label ""STD4800 Scanner""",
"Label ""LA2400 Scanner"""))</f>
        <v>☐ Label "STD4800 Scanner"</v>
      </c>
      <c r="J341" s="353"/>
      <c r="K341" s="353"/>
      <c r="L341" s="353"/>
      <c r="M341" s="353"/>
      <c r="N341" s="513"/>
      <c r="O341" s="513"/>
      <c r="P341" s="302"/>
      <c r="Q341" s="302"/>
    </row>
    <row r="342" spans="1:17" ht="18" customHeight="1" x14ac:dyDescent="0.2">
      <c r="A342" s="822"/>
      <c r="B342" s="332"/>
      <c r="C342" s="353" t="s">
        <v>279</v>
      </c>
      <c r="D342" s="514"/>
      <c r="E342" s="515" t="s">
        <v>280</v>
      </c>
      <c r="F342" s="515" t="s">
        <v>281</v>
      </c>
      <c r="G342" s="515" t="s">
        <v>282</v>
      </c>
      <c r="H342" s="515" t="s">
        <v>283</v>
      </c>
      <c r="I342" s="513"/>
      <c r="J342" s="513"/>
      <c r="K342" s="513"/>
      <c r="L342" s="513"/>
      <c r="M342" s="513"/>
      <c r="N342" s="513"/>
      <c r="O342" s="513"/>
      <c r="P342" s="302"/>
      <c r="Q342" s="302"/>
    </row>
    <row r="343" spans="1:17" ht="13.25" customHeight="1" x14ac:dyDescent="0.2">
      <c r="A343" s="595"/>
      <c r="B343" s="310"/>
      <c r="C343" s="395"/>
      <c r="D343" s="353"/>
      <c r="E343" s="353"/>
      <c r="F343" s="353"/>
      <c r="G343" s="353"/>
      <c r="H343" s="353"/>
      <c r="I343" s="353"/>
      <c r="J343" s="353"/>
      <c r="K343" s="353"/>
      <c r="L343" s="353"/>
      <c r="M343" s="353"/>
      <c r="N343" s="513"/>
      <c r="O343" s="513"/>
      <c r="P343" s="302"/>
      <c r="Q343" s="302"/>
    </row>
    <row r="344" spans="1:17" ht="18" customHeight="1" x14ac:dyDescent="0.2">
      <c r="A344" s="822" t="s">
        <v>278</v>
      </c>
      <c r="B344" s="333" t="s">
        <v>278</v>
      </c>
      <c r="C344"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44" s="353"/>
      <c r="E344" s="514"/>
      <c r="F344" s="514"/>
      <c r="G344" s="353"/>
      <c r="H344" s="395"/>
      <c r="I344" s="395" t="str">
        <f>IF(OR(SEEDLE_IndexScanner=1,SEEDLE_ClientWithOrWithoutScanner_ChkBox),
"",
"☐ Velcros pour TPU pin")</f>
        <v/>
      </c>
      <c r="J344" s="303"/>
      <c r="K344" s="395" t="str">
        <f>IF(SEEDLE_IndexScanner=1,
"",
"☐ Root Posi. System LA, 2 de 3 (8 Blocs de couleur)")</f>
        <v/>
      </c>
      <c r="L344" s="514"/>
      <c r="M344" s="514"/>
      <c r="N344" s="513"/>
      <c r="O344" s="513"/>
      <c r="P344" s="302"/>
      <c r="Q344" s="302"/>
    </row>
    <row r="345" spans="1:17" ht="18" customHeight="1" x14ac:dyDescent="0.2">
      <c r="A345" s="822"/>
      <c r="B345" s="302"/>
      <c r="C345" s="395" t="str">
        <f>"☐ " &amp; IF(SEEDLE_IndexScanner=1,
"Root Posi. System STD, 2 de 2 (Accessories Holder STD)",
"Root Posi. System LA, 3 de 3 (Accessories Holder LA)")</f>
        <v>☐ Root Posi. System STD, 2 de 2 (Accessories Holder STD)</v>
      </c>
      <c r="D345" s="514"/>
      <c r="E345" s="353"/>
      <c r="F345" s="353" t="s">
        <v>286</v>
      </c>
      <c r="G345" s="303"/>
      <c r="H345" s="353"/>
      <c r="I345" s="395" t="str">
        <f>"☐ " &amp; IF(SEEDLE_IndexScanner=1,
"Label ""STD4800 Scanner""",
"Label ""LA2400 Scanner""")</f>
        <v>☐ Label "STD4800 Scanner"</v>
      </c>
      <c r="J345" s="514"/>
      <c r="K345" s="395" t="str">
        <f>"☐ " &amp; "Label ""Scanner Not Waterproof"""</f>
        <v>☐ Label "Scanner Not Waterproof"</v>
      </c>
      <c r="L345" s="514"/>
      <c r="M345" s="514"/>
      <c r="N345" s="513"/>
      <c r="O345" s="513"/>
      <c r="P345" s="302"/>
      <c r="Q345" s="302"/>
    </row>
    <row r="346" spans="1:17" ht="18" customHeight="1" x14ac:dyDescent="0.2">
      <c r="A346" s="595"/>
      <c r="B346" s="302"/>
      <c r="C346" s="395"/>
      <c r="D346" s="353"/>
      <c r="E346" s="353"/>
      <c r="F346" s="514"/>
      <c r="G346" s="513"/>
      <c r="H346" s="513"/>
      <c r="I346" s="514"/>
      <c r="J346" s="514"/>
      <c r="K346" s="515"/>
      <c r="L346" s="353"/>
      <c r="M346" s="353"/>
      <c r="N346" s="513"/>
      <c r="O346" s="513"/>
      <c r="P346" s="302"/>
      <c r="Q346" s="302"/>
    </row>
    <row r="347" spans="1:17" ht="16.25" customHeight="1" x14ac:dyDescent="0.2">
      <c r="A347" s="822" t="str">
        <f>"SCAN"&amp;_xlfn.AGGREGATE(3,7,$B$251,$B$255,$B$259,$B$263,$B$267,$B$271,$B$278,$B$285,$B$292,$B$299,$B$306,$B$310,$B$314,$B$318,$B$322,$B$326,$B$333,$B$340)+1</f>
        <v>SCAN19</v>
      </c>
      <c r="B347" s="332" t="str">
        <f>"SCAN"&amp;_xlfn.AGGREGATE(3,7,$B$251,$B$255,$B$259,$B$263,$B$267,$B$271,$B$278,$B$285,$B$292,$B$299,$B$306,$B$310,$B$314,$B$318,$B$322,$B$326,$B$333,$B$340)+1</f>
        <v>SCAN19</v>
      </c>
      <c r="C347" s="395" t="str">
        <f>IF(SEEDLE_IndexScanner=1,"STD4800","LA2400")</f>
        <v>STD4800</v>
      </c>
      <c r="D347" s="511" t="str">
        <f>IF(SEEDLE_IndexScanner=1,"V850","Exp13000")</f>
        <v>V850</v>
      </c>
      <c r="E347" s="510"/>
      <c r="F347" s="395" t="s">
        <v>161</v>
      </c>
      <c r="G347" s="395" t="s">
        <v>743</v>
      </c>
      <c r="H347" s="353"/>
      <c r="I347" s="572" t="s">
        <v>321</v>
      </c>
      <c r="J347" s="512"/>
      <c r="K347" s="395" t="s">
        <v>161</v>
      </c>
      <c r="L347" s="353"/>
      <c r="M347" s="395"/>
      <c r="N347" s="513"/>
      <c r="O347" s="513"/>
      <c r="P347" s="302"/>
      <c r="Q347" s="302"/>
    </row>
    <row r="348" spans="1:17" ht="18" customHeight="1" x14ac:dyDescent="0.2">
      <c r="A348" s="822"/>
      <c r="B348" s="332"/>
      <c r="C348" s="395" t="s">
        <v>256</v>
      </c>
      <c r="D348" s="353"/>
      <c r="E348" s="395" t="s">
        <v>257</v>
      </c>
      <c r="F348" s="353" t="s">
        <v>286</v>
      </c>
      <c r="G348" s="303"/>
      <c r="H348" s="353"/>
      <c r="I348" s="395" t="str">
        <f>IF(N("Ne pas afficher label du scanner dans section scanner si présent déjà dans posi")+SEEDLE_PosiOrBlueBG_Checkbox=1,"",
"☐ " &amp; IF(SEEDLE_IndexScanner=1,
"Label ""STD4800 Scanner""",
"Label ""LA2400 Scanner"""))</f>
        <v>☐ Label "STD4800 Scanner"</v>
      </c>
      <c r="J348" s="353"/>
      <c r="K348" s="353"/>
      <c r="L348" s="353"/>
      <c r="M348" s="353"/>
      <c r="N348" s="513"/>
      <c r="O348" s="513"/>
      <c r="P348" s="302"/>
      <c r="Q348" s="302"/>
    </row>
    <row r="349" spans="1:17" ht="18" customHeight="1" x14ac:dyDescent="0.2">
      <c r="A349" s="822"/>
      <c r="B349" s="332"/>
      <c r="C349" s="353" t="s">
        <v>279</v>
      </c>
      <c r="D349" s="514"/>
      <c r="E349" s="515" t="s">
        <v>280</v>
      </c>
      <c r="F349" s="515" t="s">
        <v>281</v>
      </c>
      <c r="G349" s="515" t="s">
        <v>282</v>
      </c>
      <c r="H349" s="515" t="s">
        <v>283</v>
      </c>
      <c r="I349" s="513"/>
      <c r="J349" s="513"/>
      <c r="K349" s="513"/>
      <c r="L349" s="513"/>
      <c r="M349" s="513"/>
      <c r="N349" s="513"/>
      <c r="O349" s="513"/>
      <c r="P349" s="302"/>
      <c r="Q349" s="302"/>
    </row>
    <row r="350" spans="1:17" ht="13.25" customHeight="1" x14ac:dyDescent="0.2">
      <c r="A350" s="595"/>
      <c r="B350" s="310"/>
      <c r="C350" s="395"/>
      <c r="D350" s="353"/>
      <c r="E350" s="353"/>
      <c r="F350" s="353"/>
      <c r="G350" s="353"/>
      <c r="H350" s="353"/>
      <c r="I350" s="353"/>
      <c r="J350" s="353"/>
      <c r="K350" s="353"/>
      <c r="L350" s="353"/>
      <c r="M350" s="353"/>
      <c r="N350" s="513"/>
      <c r="O350" s="513"/>
      <c r="P350" s="302"/>
      <c r="Q350" s="302"/>
    </row>
    <row r="351" spans="1:17" ht="18" customHeight="1" x14ac:dyDescent="0.2">
      <c r="A351" s="822" t="s">
        <v>278</v>
      </c>
      <c r="B351" s="333" t="s">
        <v>278</v>
      </c>
      <c r="C351"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51" s="353"/>
      <c r="E351" s="514"/>
      <c r="F351" s="514"/>
      <c r="G351" s="353"/>
      <c r="H351" s="395"/>
      <c r="I351" s="395" t="str">
        <f>IF(OR(SEEDLE_IndexScanner=1,SEEDLE_ClientWithOrWithoutScanner_ChkBox),
"",
"☐ Velcros pour TPU pin")</f>
        <v/>
      </c>
      <c r="J351" s="303"/>
      <c r="K351" s="395" t="str">
        <f>IF(SEEDLE_IndexScanner=1,
"",
"☐ Root Posi. System LA, 2 de 3 (8 Blocs de couleur)")</f>
        <v/>
      </c>
      <c r="L351" s="514"/>
      <c r="M351" s="514"/>
      <c r="N351" s="513"/>
      <c r="O351" s="513"/>
      <c r="P351" s="302"/>
      <c r="Q351" s="302"/>
    </row>
    <row r="352" spans="1:17" ht="18" customHeight="1" x14ac:dyDescent="0.2">
      <c r="A352" s="822"/>
      <c r="B352" s="302"/>
      <c r="C352" s="395" t="str">
        <f>"☐ " &amp; IF(SEEDLE_IndexScanner=1,
"Root Posi. System STD, 2 de 2 (Accessories Holder STD)",
"Root Posi. System LA, 3 de 3 (Accessories Holder LA)")</f>
        <v>☐ Root Posi. System STD, 2 de 2 (Accessories Holder STD)</v>
      </c>
      <c r="D352" s="514"/>
      <c r="E352" s="353"/>
      <c r="F352" s="353" t="s">
        <v>286</v>
      </c>
      <c r="G352" s="303"/>
      <c r="H352" s="353"/>
      <c r="I352" s="395" t="str">
        <f>"☐ " &amp; IF(SEEDLE_IndexScanner=1,
"Label ""STD4800 Scanner""",
"Label ""LA2400 Scanner""")</f>
        <v>☐ Label "STD4800 Scanner"</v>
      </c>
      <c r="J352" s="514"/>
      <c r="K352" s="395" t="str">
        <f>"☐ " &amp; "Label ""Scanner Not Waterproof"""</f>
        <v>☐ Label "Scanner Not Waterproof"</v>
      </c>
      <c r="L352" s="514"/>
      <c r="M352" s="514"/>
      <c r="N352" s="513"/>
      <c r="O352" s="513"/>
      <c r="P352" s="302"/>
      <c r="Q352" s="302"/>
    </row>
    <row r="353" spans="1:17" ht="18" customHeight="1" x14ac:dyDescent="0.2">
      <c r="A353" s="595"/>
      <c r="B353" s="302"/>
      <c r="C353" s="395"/>
      <c r="D353" s="353"/>
      <c r="E353" s="353"/>
      <c r="F353" s="514"/>
      <c r="G353" s="513"/>
      <c r="H353" s="513"/>
      <c r="I353" s="514"/>
      <c r="J353" s="514"/>
      <c r="K353" s="515"/>
      <c r="L353" s="353"/>
      <c r="M353" s="353"/>
      <c r="N353" s="513"/>
      <c r="O353" s="513"/>
      <c r="P353" s="302"/>
      <c r="Q353" s="302"/>
    </row>
    <row r="354" spans="1:17" ht="16.25" customHeight="1" x14ac:dyDescent="0.2">
      <c r="A354" s="822" t="str">
        <f>"SCAN"&amp;_xlfn.AGGREGATE(3,7,$B$251,$B$255,$B$259,$B$263,$B$267,$B$271,$B$278,$B$285,$B$292,$B$299,$B$306,$B$310,$B$314,$B$318,$B$322,$B$326,$B$333,$B$340,$B$347)+1</f>
        <v>SCAN20</v>
      </c>
      <c r="B354" s="332" t="str">
        <f>"SCAN"&amp;_xlfn.AGGREGATE(3,7,$B$251,$B$255,$B$259,$B$263,$B$267,$B$271,$B$278,$B$285,$B$292,$B$299,$B$306,$B$310,$B$314,$B$318,$B$322,$B$326,$B$333,$B$340,$B$347)+1</f>
        <v>SCAN20</v>
      </c>
      <c r="C354" s="395" t="str">
        <f>IF(SEEDLE_IndexScanner=1,"STD4800","LA2400")</f>
        <v>STD4800</v>
      </c>
      <c r="D354" s="511" t="str">
        <f>IF(SEEDLE_IndexScanner=1,"V850","Exp13000")</f>
        <v>V850</v>
      </c>
      <c r="E354" s="510"/>
      <c r="F354" s="395" t="s">
        <v>161</v>
      </c>
      <c r="G354" s="395" t="s">
        <v>743</v>
      </c>
      <c r="H354" s="353"/>
      <c r="I354" s="572" t="s">
        <v>321</v>
      </c>
      <c r="J354" s="512"/>
      <c r="K354" s="395" t="s">
        <v>161</v>
      </c>
      <c r="L354" s="353"/>
      <c r="M354" s="395"/>
      <c r="N354" s="513"/>
      <c r="O354" s="513"/>
      <c r="P354" s="302"/>
      <c r="Q354" s="302"/>
    </row>
    <row r="355" spans="1:17" ht="18" customHeight="1" x14ac:dyDescent="0.2">
      <c r="A355" s="822"/>
      <c r="B355" s="332"/>
      <c r="C355" s="395" t="s">
        <v>256</v>
      </c>
      <c r="D355" s="353"/>
      <c r="E355" s="395" t="s">
        <v>257</v>
      </c>
      <c r="F355" s="353" t="s">
        <v>286</v>
      </c>
      <c r="G355" s="303"/>
      <c r="H355" s="353"/>
      <c r="I355" s="395" t="str">
        <f>IF(N("Ne pas afficher label du scanner dans section scanner si présent déjà dans posi")+SEEDLE_PosiOrBlueBG_Checkbox=1,"",
"☐ " &amp; IF(SEEDLE_IndexScanner=1,
"Label ""STD4800 Scanner""",
"Label ""LA2400 Scanner"""))</f>
        <v>☐ Label "STD4800 Scanner"</v>
      </c>
      <c r="J355" s="353"/>
      <c r="K355" s="353"/>
      <c r="L355" s="353"/>
      <c r="M355" s="353"/>
      <c r="N355" s="513"/>
      <c r="O355" s="513"/>
      <c r="P355" s="302"/>
      <c r="Q355" s="302"/>
    </row>
    <row r="356" spans="1:17" ht="18" customHeight="1" x14ac:dyDescent="0.2">
      <c r="A356" s="822"/>
      <c r="B356" s="332"/>
      <c r="C356" s="353" t="s">
        <v>279</v>
      </c>
      <c r="D356" s="514"/>
      <c r="E356" s="515" t="s">
        <v>280</v>
      </c>
      <c r="F356" s="515" t="s">
        <v>281</v>
      </c>
      <c r="G356" s="515" t="s">
        <v>282</v>
      </c>
      <c r="H356" s="515" t="s">
        <v>283</v>
      </c>
      <c r="I356" s="513"/>
      <c r="J356" s="513"/>
      <c r="K356" s="513"/>
      <c r="L356" s="513"/>
      <c r="M356" s="513"/>
      <c r="N356" s="513"/>
      <c r="O356" s="513"/>
      <c r="P356" s="302"/>
      <c r="Q356" s="302"/>
    </row>
    <row r="357" spans="1:17" ht="13.25" customHeight="1" x14ac:dyDescent="0.2">
      <c r="A357" s="595"/>
      <c r="B357" s="310"/>
      <c r="C357" s="395"/>
      <c r="D357" s="353"/>
      <c r="E357" s="353"/>
      <c r="F357" s="353"/>
      <c r="G357" s="353"/>
      <c r="H357" s="353"/>
      <c r="I357" s="353"/>
      <c r="J357" s="353"/>
      <c r="K357" s="353"/>
      <c r="L357" s="353"/>
      <c r="M357" s="353"/>
      <c r="N357" s="513"/>
      <c r="O357" s="513"/>
      <c r="P357" s="302"/>
      <c r="Q357" s="302"/>
    </row>
    <row r="358" spans="1:17" ht="18" customHeight="1" x14ac:dyDescent="0.2">
      <c r="A358" s="822" t="s">
        <v>278</v>
      </c>
      <c r="B358" s="333" t="s">
        <v>278</v>
      </c>
      <c r="C358" s="395" t="str">
        <f>"☐ " &amp; IF(SEEDLE_IndexScanner=1,
"Root Posi. System STD, 1 de 2 (Blue BG, Frame, 4 Blocs couleur, 3 Trays, Label Water only, Spacers)",
"Root Posi. System LA, 1 de 3 (Blue BG, Frame, 5 Trays, Label Water only, Spacers)")</f>
        <v>☐ Root Posi. System STD, 1 de 2 (Blue BG, Frame, 4 Blocs couleur, 3 Trays, Label Water only, Spacers)</v>
      </c>
      <c r="D358" s="353"/>
      <c r="E358" s="514"/>
      <c r="F358" s="514"/>
      <c r="G358" s="353"/>
      <c r="H358" s="395"/>
      <c r="I358" s="395" t="str">
        <f>IF(OR(SEEDLE_IndexScanner=1,SEEDLE_ClientWithOrWithoutScanner_ChkBox),
"",
"☐ Velcros pour TPU pin")</f>
        <v/>
      </c>
      <c r="J358" s="303"/>
      <c r="K358" s="395" t="str">
        <f>IF(SEEDLE_IndexScanner=1,
"",
"☐ Root Posi. System LA, 2 de 3 (8 Blocs de couleur)")</f>
        <v/>
      </c>
      <c r="L358" s="514"/>
      <c r="M358" s="514"/>
      <c r="N358" s="513"/>
      <c r="O358" s="513"/>
      <c r="P358" s="302"/>
      <c r="Q358" s="302"/>
    </row>
    <row r="359" spans="1:17" ht="18" customHeight="1" x14ac:dyDescent="0.2">
      <c r="A359" s="822"/>
      <c r="B359" s="302"/>
      <c r="C359" s="395" t="str">
        <f>"☐ " &amp; IF(SEEDLE_IndexScanner=1,
"Root Posi. System STD, 2 de 2 (Accessories Holder STD)",
"Root Posi. System LA, 3 de 3 (Accessories Holder LA)")</f>
        <v>☐ Root Posi. System STD, 2 de 2 (Accessories Holder STD)</v>
      </c>
      <c r="D359" s="514"/>
      <c r="E359" s="353"/>
      <c r="F359" s="353" t="s">
        <v>286</v>
      </c>
      <c r="G359" s="303"/>
      <c r="H359" s="353"/>
      <c r="I359" s="395" t="str">
        <f>"☐ " &amp; IF(SEEDLE_IndexScanner=1,
"Label ""STD4800 Scanner""",
"Label ""LA2400 Scanner""")</f>
        <v>☐ Label "STD4800 Scanner"</v>
      </c>
      <c r="J359" s="514"/>
      <c r="K359" s="395" t="str">
        <f>"☐ " &amp; "Label ""Scanner Not Waterproof"""</f>
        <v>☐ Label "Scanner Not Waterproof"</v>
      </c>
      <c r="L359" s="514"/>
      <c r="M359" s="514"/>
      <c r="N359" s="513"/>
      <c r="O359" s="513"/>
      <c r="P359" s="302"/>
      <c r="Q359" s="302"/>
    </row>
    <row r="360" spans="1:17" ht="18" customHeight="1" x14ac:dyDescent="0.2">
      <c r="A360" s="598"/>
      <c r="B360" s="337"/>
      <c r="C360" s="524"/>
      <c r="D360" s="524"/>
      <c r="E360" s="524"/>
      <c r="F360" s="524"/>
      <c r="G360" s="524"/>
      <c r="H360" s="525"/>
      <c r="I360" s="524"/>
      <c r="J360" s="524"/>
      <c r="K360" s="525"/>
      <c r="L360" s="524"/>
      <c r="M360" s="524"/>
      <c r="N360" s="524"/>
      <c r="O360" s="513"/>
      <c r="P360" s="302"/>
      <c r="Q360" s="302"/>
    </row>
    <row r="361" spans="1:17" ht="16.25" customHeight="1" x14ac:dyDescent="0.2">
      <c r="A361" s="825" t="str">
        <f>"SCAN"&amp;_xlfn.AGGREGATE(3,7,$B$251,$B$255,$B$259,$B$263,$B$267,$B$271,$B$278,$B$285,$B$292,$B$299,$B$306,$B$310,$B$314,$B$318,$B$322,$B$326,$B$333,$B$340,$B$347,$B$354)+1</f>
        <v>SCAN21</v>
      </c>
      <c r="B361" s="332" t="str">
        <f>"SCAN"&amp;_xlfn.AGGREGATE(3,7,$B$251,$B$255,$B$259,$B$263,$B$267,$B$271,$B$278,$B$285,$B$292,$B$299,$B$306,$B$310,$B$314,$B$318,$B$322,$B$326,$B$333,$B$340,$B$347,$B$354)+1</f>
        <v>SCAN21</v>
      </c>
      <c r="C361" s="395" t="str">
        <f>IF(CAM_IndexScanner=1,"STD4800",IF(CAM_IndexScanner=2,"LA2400","LC4800P"))</f>
        <v>STD4800</v>
      </c>
      <c r="D361" s="511" t="str">
        <f>IF(CAM_IndexScanner=1,"V850",IF(CAM_IndexScanner=2,"Exp13000","V39 II"))</f>
        <v>V850</v>
      </c>
      <c r="E361" s="510"/>
      <c r="F361" s="395" t="str">
        <f>IF(C361&lt;&gt;"LC4800P","☐ Tête barrée","")</f>
        <v>☐ Tête barrée</v>
      </c>
      <c r="G361" s="395" t="s">
        <v>743</v>
      </c>
      <c r="H361" s="353"/>
      <c r="I361" s="572" t="str">
        <f>IF(C361&lt;&gt;"LC4800P","TPU  S/N","")</f>
        <v>TPU  S/N</v>
      </c>
      <c r="J361" s="512"/>
      <c r="K361" s="395" t="str">
        <f>IF(C361&lt;&gt;"LC4800P","☐ Tête barrée","")</f>
        <v>☐ Tête barrée</v>
      </c>
      <c r="L361" s="353"/>
      <c r="M361" s="395"/>
      <c r="N361" s="513"/>
      <c r="O361" s="513"/>
      <c r="P361" s="302"/>
      <c r="Q361" s="302"/>
    </row>
    <row r="362" spans="1:17" ht="18" customHeight="1" x14ac:dyDescent="0.2">
      <c r="A362" s="825"/>
      <c r="B362" s="332"/>
      <c r="C362" s="395" t="s">
        <v>256</v>
      </c>
      <c r="D362" s="353"/>
      <c r="E362" s="395"/>
      <c r="F362" s="395" t="str">
        <f>"☐ Fond Bleu " &amp; IF(CAM_IndexScanner=1,"STD",IF(CAM_IndexScanner=2,"LA","LC"))</f>
        <v>☐ Fond Bleu STD</v>
      </c>
      <c r="G362" s="395" t="str">
        <f>IF(C361&lt;&gt;"LC4800P","☐ Slides holders","")</f>
        <v>☐ Slides holders</v>
      </c>
      <c r="H362" s="353"/>
      <c r="I362" s="395" t="str">
        <f>"☐ " &amp; IF(CAM_IndexScanner=1,
"Label ""STD4800 Scanner""",
"Label ""LA2400 Scanner""")</f>
        <v>☐ Label "STD4800 Scanner"</v>
      </c>
      <c r="J362" s="303"/>
      <c r="K362" s="353"/>
      <c r="L362" s="353"/>
      <c r="M362" s="353"/>
      <c r="N362" s="513"/>
      <c r="O362" s="513"/>
      <c r="P362" s="302"/>
      <c r="Q362" s="302"/>
    </row>
    <row r="363" spans="1:17" ht="16.25" customHeight="1" x14ac:dyDescent="0.2">
      <c r="A363" s="825"/>
      <c r="B363" s="332"/>
      <c r="C363" s="353" t="str">
        <f>IF(C361&lt;&gt;"LC4800P","☐ 110V","")</f>
        <v>☐ 110V</v>
      </c>
      <c r="D363" s="514"/>
      <c r="E363" s="515" t="str">
        <f>IF(C361&lt;&gt;"LC4800P","220V : ☐ C","")</f>
        <v>220V : ☐ C</v>
      </c>
      <c r="F363" s="515" t="str">
        <f>IF(C361&lt;&gt;"LC4800P","☐ G","")</f>
        <v>☐ G</v>
      </c>
      <c r="G363" s="515" t="str">
        <f>IF(C361&lt;&gt;"LC4800P","☐ I","")</f>
        <v>☐ I</v>
      </c>
      <c r="H363" s="515" t="str">
        <f>IF(C361&lt;&gt;"LC4800P","☐ E","")</f>
        <v>☐ E</v>
      </c>
      <c r="I363" s="513"/>
      <c r="J363" s="513"/>
      <c r="K363" s="513"/>
      <c r="L363" s="513"/>
      <c r="M363" s="513"/>
      <c r="N363" s="513"/>
      <c r="O363" s="513"/>
      <c r="P363" s="302"/>
      <c r="Q363" s="302"/>
    </row>
    <row r="364" spans="1:17" ht="13.25" customHeight="1" x14ac:dyDescent="0.2">
      <c r="A364" s="598"/>
      <c r="B364" s="310"/>
      <c r="C364" s="395"/>
      <c r="D364" s="395"/>
      <c r="E364" s="395"/>
      <c r="F364" s="395"/>
      <c r="G364" s="395"/>
      <c r="H364" s="395"/>
      <c r="I364" s="395"/>
      <c r="J364" s="395"/>
      <c r="K364" s="395"/>
      <c r="L364" s="395"/>
      <c r="M364" s="353"/>
      <c r="N364" s="513"/>
      <c r="O364" s="513"/>
      <c r="P364" s="302"/>
      <c r="Q364" s="302"/>
    </row>
    <row r="365" spans="1:17" ht="16.25" customHeight="1" x14ac:dyDescent="0.2">
      <c r="A365" s="825" t="str">
        <f>"SCAN"&amp;_xlfn.AGGREGATE(3,7,$B$251,$B$255,$B$259,$B$263,$B$267,$B$271,$B$278,$B$285,$B$292,$B$299,$B$306,$B$310,$B$314,$B$318,$B$322,$B$326,$B$333,$B$340,$B$347,$B$354,$B$361)+1</f>
        <v>SCAN22</v>
      </c>
      <c r="B365" s="332" t="str">
        <f>"SCAN"&amp;_xlfn.AGGREGATE(3,7,$B$251,$B$255,$B$259,$B$263,$B$267,$B$271,$B$278,$B$285,$B$292,$B$299,$B$306,$B$310,$B$314,$B$318,$B$322,$B$326,$B$333,$B$340,$B$347,$B$354,$B$361)+1</f>
        <v>SCAN22</v>
      </c>
      <c r="C365" s="395" t="str">
        <f>IF(CAM_IndexScanner=1,"STD4800",IF(CAM_IndexScanner=2,"LA2400","LC4800P"))</f>
        <v>STD4800</v>
      </c>
      <c r="D365" s="511" t="str">
        <f>IF(CAM_IndexScanner=1,"V850",IF(CAM_IndexScanner=2,"Exp13000","V39 II"))</f>
        <v>V850</v>
      </c>
      <c r="E365" s="510"/>
      <c r="F365" s="395" t="str">
        <f>IF(C365&lt;&gt;"LC4800P","☐ Tête barrée","")</f>
        <v>☐ Tête barrée</v>
      </c>
      <c r="G365" s="395" t="s">
        <v>743</v>
      </c>
      <c r="H365" s="353"/>
      <c r="I365" s="572" t="str">
        <f>IF(C365&lt;&gt;"LC4800P","TPU  S/N","")</f>
        <v>TPU  S/N</v>
      </c>
      <c r="J365" s="512"/>
      <c r="K365" s="395" t="str">
        <f>IF(C365&lt;&gt;"LC4800P","☐ Tête barrée","")</f>
        <v>☐ Tête barrée</v>
      </c>
      <c r="L365" s="353"/>
      <c r="M365" s="395"/>
      <c r="N365" s="513"/>
      <c r="O365" s="513"/>
      <c r="P365" s="302"/>
      <c r="Q365" s="302"/>
    </row>
    <row r="366" spans="1:17" ht="18" customHeight="1" x14ac:dyDescent="0.2">
      <c r="A366" s="825"/>
      <c r="B366" s="332"/>
      <c r="C366" s="395" t="s">
        <v>256</v>
      </c>
      <c r="D366" s="353"/>
      <c r="E366" s="395"/>
      <c r="F366" s="395" t="str">
        <f>"☐ Fond Bleu " &amp; IF(CAM_IndexScanner=1,"STD",IF(CAM_IndexScanner=2,"LA","LC"))</f>
        <v>☐ Fond Bleu STD</v>
      </c>
      <c r="G366" s="395" t="str">
        <f>IF(C365&lt;&gt;"LC4800P","☐ Slides holders","")</f>
        <v>☐ Slides holders</v>
      </c>
      <c r="H366" s="353"/>
      <c r="I366" s="395" t="str">
        <f>"☐ " &amp; IF(CAM_IndexScanner=1,
"Label ""STD4800 Scanner""",
"Label ""LA2400 Scanner""")</f>
        <v>☐ Label "STD4800 Scanner"</v>
      </c>
      <c r="J366" s="303"/>
      <c r="K366" s="353"/>
      <c r="L366" s="353"/>
      <c r="M366" s="353"/>
      <c r="N366" s="513"/>
      <c r="O366" s="513"/>
      <c r="P366" s="302"/>
      <c r="Q366" s="302"/>
    </row>
    <row r="367" spans="1:17" ht="16.25" customHeight="1" x14ac:dyDescent="0.2">
      <c r="A367" s="825"/>
      <c r="B367" s="332"/>
      <c r="C367" s="353" t="str">
        <f>IF(C365&lt;&gt;"LC4800P","☐ 110V","")</f>
        <v>☐ 110V</v>
      </c>
      <c r="D367" s="514"/>
      <c r="E367" s="515" t="str">
        <f>IF(C365&lt;&gt;"LC4800P","220V : ☐ C","")</f>
        <v>220V : ☐ C</v>
      </c>
      <c r="F367" s="515" t="str">
        <f>IF(C365&lt;&gt;"LC4800P","☐ G","")</f>
        <v>☐ G</v>
      </c>
      <c r="G367" s="515" t="str">
        <f>IF(C365&lt;&gt;"LC4800P","☐ I","")</f>
        <v>☐ I</v>
      </c>
      <c r="H367" s="515" t="str">
        <f>IF(C365&lt;&gt;"LC4800P","☐ E","")</f>
        <v>☐ E</v>
      </c>
      <c r="I367" s="513"/>
      <c r="J367" s="513"/>
      <c r="K367" s="513"/>
      <c r="L367" s="513"/>
      <c r="M367" s="513"/>
      <c r="N367" s="513"/>
      <c r="O367" s="513"/>
      <c r="P367" s="302"/>
      <c r="Q367" s="302"/>
    </row>
    <row r="368" spans="1:17" ht="13.25" customHeight="1" x14ac:dyDescent="0.2">
      <c r="A368" s="598"/>
      <c r="B368" s="310"/>
      <c r="C368" s="395"/>
      <c r="D368" s="395"/>
      <c r="E368" s="395"/>
      <c r="F368" s="395"/>
      <c r="G368" s="395"/>
      <c r="H368" s="395"/>
      <c r="I368" s="395"/>
      <c r="J368" s="395"/>
      <c r="K368" s="395"/>
      <c r="L368" s="395"/>
      <c r="M368" s="353"/>
      <c r="N368" s="513"/>
      <c r="O368" s="513"/>
      <c r="P368" s="302"/>
      <c r="Q368" s="302"/>
    </row>
    <row r="369" spans="1:17" ht="16.25" customHeight="1" x14ac:dyDescent="0.2">
      <c r="A369" s="825" t="str">
        <f>"SCAN"&amp;_xlfn.AGGREGATE(3,7,$B$251,$B$255,$B$259,$B$263,$B$267,$B$271,$B$278,$B$285,$B$292,$B$299,$B$306,$B$310,$B$314,$B$318,$B$322,$B$326,$B$333,$B$340,$B$347,$B$354,$B$361,$B$365)+1</f>
        <v>SCAN23</v>
      </c>
      <c r="B369" s="332" t="str">
        <f>"SCAN"&amp;_xlfn.AGGREGATE(3,7,$B$251,$B$255,$B$259,$B$263,$B$267,$B$271,$B$278,$B$285,$B$292,$B$299,$B$306,$B$310,$B$314,$B$318,$B$322,$B$326,$B$333,$B$340,$B$347,$B$354,$B$361,$B$365)+1</f>
        <v>SCAN23</v>
      </c>
      <c r="C369" s="395" t="str">
        <f>IF(CAM_IndexScanner=1,"STD4800",IF(CAM_IndexScanner=2,"LA2400","LC4800P"))</f>
        <v>STD4800</v>
      </c>
      <c r="D369" s="511" t="str">
        <f>IF(CAM_IndexScanner=1,"V850",IF(CAM_IndexScanner=2,"Exp13000","V39 II"))</f>
        <v>V850</v>
      </c>
      <c r="E369" s="510"/>
      <c r="F369" s="395" t="str">
        <f>IF(C369&lt;&gt;"LC4800P","☐ Tête barrée","")</f>
        <v>☐ Tête barrée</v>
      </c>
      <c r="G369" s="395" t="s">
        <v>743</v>
      </c>
      <c r="H369" s="353"/>
      <c r="I369" s="572" t="str">
        <f>IF(C369&lt;&gt;"LC4800P","TPU  S/N","")</f>
        <v>TPU  S/N</v>
      </c>
      <c r="J369" s="512"/>
      <c r="K369" s="395" t="str">
        <f>IF(C369&lt;&gt;"LC4800P","☐ Tête barrée","")</f>
        <v>☐ Tête barrée</v>
      </c>
      <c r="L369" s="353"/>
      <c r="M369" s="395"/>
      <c r="N369" s="513"/>
      <c r="O369" s="513"/>
      <c r="P369" s="302"/>
      <c r="Q369" s="302"/>
    </row>
    <row r="370" spans="1:17" ht="18" customHeight="1" x14ac:dyDescent="0.2">
      <c r="A370" s="825"/>
      <c r="B370" s="332"/>
      <c r="C370" s="395" t="s">
        <v>256</v>
      </c>
      <c r="D370" s="353"/>
      <c r="E370" s="395"/>
      <c r="F370" s="395" t="str">
        <f>"☐ Fond Bleu " &amp; IF(CAM_IndexScanner=1,"STD",IF(CAM_IndexScanner=2,"LA","LC"))</f>
        <v>☐ Fond Bleu STD</v>
      </c>
      <c r="G370" s="395" t="str">
        <f>IF(C369&lt;&gt;"LC4800P","☐ Slides holders","")</f>
        <v>☐ Slides holders</v>
      </c>
      <c r="H370" s="353"/>
      <c r="I370" s="395" t="str">
        <f>"☐ " &amp; IF(CAM_IndexScanner=1,
"Label ""STD4800 Scanner""",
"Label ""LA2400 Scanner""")</f>
        <v>☐ Label "STD4800 Scanner"</v>
      </c>
      <c r="J370" s="395"/>
      <c r="K370" s="353"/>
      <c r="L370" s="353"/>
      <c r="M370" s="353"/>
      <c r="N370" s="513"/>
      <c r="O370" s="513"/>
      <c r="P370" s="302"/>
      <c r="Q370" s="302"/>
    </row>
    <row r="371" spans="1:17" ht="16.25" customHeight="1" x14ac:dyDescent="0.2">
      <c r="A371" s="825"/>
      <c r="B371" s="332"/>
      <c r="C371" s="353" t="str">
        <f>IF(C369&lt;&gt;"LC4800P","☐ 110V","")</f>
        <v>☐ 110V</v>
      </c>
      <c r="D371" s="514"/>
      <c r="E371" s="515" t="str">
        <f>IF(C369&lt;&gt;"LC4800P","220V : ☐ C","")</f>
        <v>220V : ☐ C</v>
      </c>
      <c r="F371" s="515" t="str">
        <f>IF(C369&lt;&gt;"LC4800P","☐ G","")</f>
        <v>☐ G</v>
      </c>
      <c r="G371" s="515" t="str">
        <f>IF(C369&lt;&gt;"LC4800P","☐ I","")</f>
        <v>☐ I</v>
      </c>
      <c r="H371" s="515" t="str">
        <f>IF(C369&lt;&gt;"LC4800P","☐ E","")</f>
        <v>☐ E</v>
      </c>
      <c r="I371" s="513"/>
      <c r="J371" s="513"/>
      <c r="K371" s="513"/>
      <c r="L371" s="513"/>
      <c r="M371" s="513"/>
      <c r="N371" s="513"/>
      <c r="O371" s="513"/>
      <c r="P371" s="302"/>
      <c r="Q371" s="302"/>
    </row>
    <row r="372" spans="1:17" ht="13.25" customHeight="1" x14ac:dyDescent="0.2">
      <c r="A372" s="598"/>
      <c r="B372" s="310"/>
      <c r="C372" s="395"/>
      <c r="D372" s="395"/>
      <c r="E372" s="395"/>
      <c r="F372" s="395"/>
      <c r="G372" s="395"/>
      <c r="H372" s="395"/>
      <c r="I372" s="395"/>
      <c r="J372" s="395"/>
      <c r="K372" s="395"/>
      <c r="L372" s="395"/>
      <c r="M372" s="353"/>
      <c r="N372" s="513"/>
      <c r="O372" s="513"/>
      <c r="P372" s="302"/>
      <c r="Q372" s="302"/>
    </row>
    <row r="373" spans="1:17" ht="16.25" customHeight="1" x14ac:dyDescent="0.2">
      <c r="A373" s="825" t="str">
        <f>"SCAN"&amp;_xlfn.AGGREGATE(3,7,$B$251,$B$255,$B$259,$B$263,$B$267,$B$271,$B$278,$B$285,$B$292,$B$299,$B$306,$B$310,$B$314,$B$318,$B$322,$B$326,$B$333,$B$340,$B$347,$B$354,$B$361,$B$365,$B$369)+1</f>
        <v>SCAN24</v>
      </c>
      <c r="B373" s="332" t="str">
        <f>"SCAN"&amp;_xlfn.AGGREGATE(3,7,$B$251,$B$255,$B$259,$B$263,$B$267,$B$271,$B$278,$B$285,$B$292,$B$299,$B$306,$B$310,$B$314,$B$318,$B$322,$B$326,$B$333,$B$340,$B$347,$B$354,$B$361,$B$365,$B$369)+1</f>
        <v>SCAN24</v>
      </c>
      <c r="C373" s="395" t="str">
        <f>IF(CAM_IndexScanner=1,"STD4800",IF(CAM_IndexScanner=2,"LA2400","LC4800P"))</f>
        <v>STD4800</v>
      </c>
      <c r="D373" s="511" t="str">
        <f>IF(CAM_IndexScanner=1,"V850",IF(CAM_IndexScanner=2,"Exp13000","V39 II"))</f>
        <v>V850</v>
      </c>
      <c r="E373" s="510"/>
      <c r="F373" s="395" t="str">
        <f>IF(C373&lt;&gt;"LC4800P","☐ Tête barrée","")</f>
        <v>☐ Tête barrée</v>
      </c>
      <c r="G373" s="395" t="s">
        <v>743</v>
      </c>
      <c r="H373" s="353"/>
      <c r="I373" s="572" t="str">
        <f>IF(C373&lt;&gt;"LC4800P","TPU  S/N","")</f>
        <v>TPU  S/N</v>
      </c>
      <c r="J373" s="512"/>
      <c r="K373" s="395" t="str">
        <f>IF(C373&lt;&gt;"LC4800P","☐ Tête barrée","")</f>
        <v>☐ Tête barrée</v>
      </c>
      <c r="L373" s="353"/>
      <c r="M373" s="395"/>
      <c r="N373" s="513"/>
      <c r="O373" s="513"/>
      <c r="P373" s="302"/>
      <c r="Q373" s="302"/>
    </row>
    <row r="374" spans="1:17" ht="18" customHeight="1" x14ac:dyDescent="0.2">
      <c r="A374" s="825"/>
      <c r="B374" s="332"/>
      <c r="C374" s="395" t="s">
        <v>256</v>
      </c>
      <c r="D374" s="353"/>
      <c r="E374" s="395"/>
      <c r="F374" s="395" t="str">
        <f>"☐ Fond Bleu " &amp; IF(CAM_IndexScanner=1,"STD",IF(CAM_IndexScanner=2,"LA","LC"))</f>
        <v>☐ Fond Bleu STD</v>
      </c>
      <c r="G374" s="395" t="str">
        <f>IF(C373&lt;&gt;"LC4800P","☐ Slides holders","")</f>
        <v>☐ Slides holders</v>
      </c>
      <c r="H374" s="353"/>
      <c r="I374" s="395" t="str">
        <f>"☐ " &amp; IF(CAM_IndexScanner=1,
"Label ""STD4800 Scanner""",
"Label ""LA2400 Scanner""")</f>
        <v>☐ Label "STD4800 Scanner"</v>
      </c>
      <c r="J374" s="395"/>
      <c r="K374" s="353"/>
      <c r="L374" s="353"/>
      <c r="M374" s="353"/>
      <c r="N374" s="513"/>
      <c r="O374" s="513"/>
      <c r="P374" s="302"/>
      <c r="Q374" s="302"/>
    </row>
    <row r="375" spans="1:17" ht="16.25" customHeight="1" x14ac:dyDescent="0.2">
      <c r="A375" s="825"/>
      <c r="B375" s="332"/>
      <c r="C375" s="353" t="str">
        <f>IF(C373&lt;&gt;"LC4800P","☐ 110V","")</f>
        <v>☐ 110V</v>
      </c>
      <c r="D375" s="514"/>
      <c r="E375" s="515" t="str">
        <f>IF(C373&lt;&gt;"LC4800P","220V : ☐ C","")</f>
        <v>220V : ☐ C</v>
      </c>
      <c r="F375" s="515" t="str">
        <f>IF(C373&lt;&gt;"LC4800P","☐ G","")</f>
        <v>☐ G</v>
      </c>
      <c r="G375" s="515" t="str">
        <f>IF(C373&lt;&gt;"LC4800P","☐ I","")</f>
        <v>☐ I</v>
      </c>
      <c r="H375" s="515" t="str">
        <f>IF(C373&lt;&gt;"LC4800P","☐ E","")</f>
        <v>☐ E</v>
      </c>
      <c r="I375" s="513"/>
      <c r="J375" s="513"/>
      <c r="K375" s="513"/>
      <c r="L375" s="513"/>
      <c r="M375" s="513"/>
      <c r="N375" s="513"/>
      <c r="O375" s="513"/>
      <c r="P375" s="302"/>
      <c r="Q375" s="302"/>
    </row>
    <row r="376" spans="1:17" ht="13.25" customHeight="1" x14ac:dyDescent="0.2">
      <c r="A376" s="598"/>
      <c r="B376" s="310"/>
      <c r="C376" s="395"/>
      <c r="D376" s="395"/>
      <c r="E376" s="395"/>
      <c r="F376" s="395"/>
      <c r="G376" s="395"/>
      <c r="H376" s="395"/>
      <c r="I376" s="395"/>
      <c r="J376" s="395"/>
      <c r="K376" s="395"/>
      <c r="L376" s="395"/>
      <c r="M376" s="353"/>
      <c r="N376" s="513"/>
      <c r="O376" s="513"/>
      <c r="P376" s="302"/>
      <c r="Q376" s="302"/>
    </row>
    <row r="377" spans="1:17" ht="16.25" customHeight="1" x14ac:dyDescent="0.2">
      <c r="A377" s="825" t="str">
        <f>"SCAN"&amp;_xlfn.AGGREGATE(3,7,$B$251,$B$255,$B$259,$B$263,$B$267,$B$271,$B$278,$B$285,$B$292,$B$299,$B$306,$B$310,$B$314,$B$318,$B$322,$B$326,$B$333,$B$340,$B$347,$B$354,$B$361,$B$365,$B$369,$B$373)+1</f>
        <v>SCAN25</v>
      </c>
      <c r="B377" s="332" t="str">
        <f>"SCAN"&amp;_xlfn.AGGREGATE(3,7,$B$251,$B$255,$B$259,$B$263,$B$267,$B$271,$B$278,$B$285,$B$292,$B$299,$B$306,$B$310,$B$314,$B$318,$B$322,$B$326,$B$333,$B$340,$B$347,$B$354,$B$361,$B$365,$B$369,$B$373)+1</f>
        <v>SCAN25</v>
      </c>
      <c r="C377" s="395" t="str">
        <f>IF(CAM_IndexScanner=1,"STD4800",IF(CAM_IndexScanner=2,"LA2400","LC4800P"))</f>
        <v>STD4800</v>
      </c>
      <c r="D377" s="511" t="str">
        <f>IF(CAM_IndexScanner=1,"V850",IF(CAM_IndexScanner=2,"Exp13000","V39 II"))</f>
        <v>V850</v>
      </c>
      <c r="E377" s="510"/>
      <c r="F377" s="395" t="str">
        <f>IF(C377&lt;&gt;"LC4800P","☐ Tête barrée","")</f>
        <v>☐ Tête barrée</v>
      </c>
      <c r="G377" s="395" t="s">
        <v>743</v>
      </c>
      <c r="H377" s="353"/>
      <c r="I377" s="572" t="str">
        <f>IF(C377&lt;&gt;"LC4800P","TPU  S/N","")</f>
        <v>TPU  S/N</v>
      </c>
      <c r="J377" s="512"/>
      <c r="K377" s="395" t="str">
        <f>IF(C377&lt;&gt;"LC4800P","☐ Tête barrée","")</f>
        <v>☐ Tête barrée</v>
      </c>
      <c r="L377" s="353"/>
      <c r="M377" s="395"/>
      <c r="N377" s="513"/>
      <c r="O377" s="513"/>
      <c r="P377" s="302"/>
      <c r="Q377" s="302"/>
    </row>
    <row r="378" spans="1:17" ht="18" customHeight="1" x14ac:dyDescent="0.2">
      <c r="A378" s="825"/>
      <c r="B378" s="332"/>
      <c r="C378" s="395" t="s">
        <v>256</v>
      </c>
      <c r="D378" s="353"/>
      <c r="E378" s="395"/>
      <c r="F378" s="395" t="str">
        <f>"☐ Fond Bleu " &amp; IF(CAM_IndexScanner=1,"STD",IF(CAM_IndexScanner=2,"LA","LC"))</f>
        <v>☐ Fond Bleu STD</v>
      </c>
      <c r="G378" s="395" t="str">
        <f>IF(C377&lt;&gt;"LC4800P","☐ Slides holders","")</f>
        <v>☐ Slides holders</v>
      </c>
      <c r="H378" s="353"/>
      <c r="I378" s="395" t="str">
        <f>"☐ " &amp; IF(CAM_IndexScanner=1,
"Label ""STD4800 Scanner""",
"Label ""LA2400 Scanner""")</f>
        <v>☐ Label "STD4800 Scanner"</v>
      </c>
      <c r="J378" s="395"/>
      <c r="K378" s="353"/>
      <c r="L378" s="353"/>
      <c r="M378" s="353"/>
      <c r="N378" s="513"/>
      <c r="O378" s="513"/>
      <c r="P378" s="302"/>
      <c r="Q378" s="302"/>
    </row>
    <row r="379" spans="1:17" ht="16.25" customHeight="1" x14ac:dyDescent="0.2">
      <c r="A379" s="825"/>
      <c r="B379" s="332"/>
      <c r="C379" s="353" t="str">
        <f>IF(C377&lt;&gt;"LC4800P","☐ 110V","")</f>
        <v>☐ 110V</v>
      </c>
      <c r="D379" s="514"/>
      <c r="E379" s="515" t="str">
        <f>IF(C377&lt;&gt;"LC4800P","220V : ☐ C","")</f>
        <v>220V : ☐ C</v>
      </c>
      <c r="F379" s="515" t="str">
        <f>IF(C377&lt;&gt;"LC4800P","☐ G","")</f>
        <v>☐ G</v>
      </c>
      <c r="G379" s="515" t="str">
        <f>IF(C377&lt;&gt;"LC4800P","☐ I","")</f>
        <v>☐ I</v>
      </c>
      <c r="H379" s="515" t="str">
        <f>IF(C377&lt;&gt;"LC4800P","☐ E","")</f>
        <v>☐ E</v>
      </c>
      <c r="I379" s="513"/>
      <c r="J379" s="513"/>
      <c r="K379" s="513"/>
      <c r="L379" s="513"/>
      <c r="M379" s="513"/>
      <c r="N379" s="513"/>
      <c r="O379" s="513"/>
      <c r="P379" s="302"/>
      <c r="Q379" s="302"/>
    </row>
    <row r="380" spans="1:17" ht="18" customHeight="1" x14ac:dyDescent="0.2">
      <c r="A380" s="568"/>
      <c r="B380" s="352"/>
      <c r="C380" s="526"/>
      <c r="D380" s="526"/>
      <c r="E380" s="526"/>
      <c r="F380" s="526"/>
      <c r="G380" s="526"/>
      <c r="H380" s="527"/>
      <c r="I380" s="526"/>
      <c r="J380" s="526"/>
      <c r="K380" s="527"/>
      <c r="L380" s="526"/>
      <c r="M380" s="526"/>
      <c r="N380" s="526"/>
      <c r="O380" s="513"/>
      <c r="P380" s="302"/>
      <c r="Q380" s="302"/>
    </row>
    <row r="381" spans="1:17" ht="18" customHeight="1" x14ac:dyDescent="0.2">
      <c r="A381" s="823" t="str">
        <f>"CAMERA "&amp;1</f>
        <v>CAMERA 1</v>
      </c>
      <c r="B381" s="332" t="str">
        <f>"CAMERA "&amp;1</f>
        <v>CAMERA 1</v>
      </c>
      <c r="C381" s="395" t="str">
        <f>IF(SCANOPY_Camera,
IF(SCANOPY_IndexScanner=1,"Camera α","Camera"),"")</f>
        <v>Camera α</v>
      </c>
      <c r="D381" s="511">
        <f>IF(SCANOPY_Camera,
IF(SCANOPY_IndexScanner=1,SCANOPY_CameraModel,SCANOPY_CameraModel_Mini),"")</f>
        <v>6100</v>
      </c>
      <c r="E381" s="510"/>
      <c r="F381" s="575" t="s">
        <v>324</v>
      </c>
      <c r="G381" s="512" t="str">
        <f>IF(SCANOPY_IndexScanner=1,"Madoka","GoPro LM2")</f>
        <v>Madoka</v>
      </c>
      <c r="H381" s="513" t="s">
        <v>154</v>
      </c>
      <c r="I381" s="512"/>
      <c r="J381" s="395" t="str">
        <f>IF(SCANOPY_Camera,"☐ Documents et items manufacturier","")</f>
        <v>☐ Documents et items manufacturier</v>
      </c>
      <c r="K381" s="515"/>
      <c r="L381" s="514"/>
      <c r="M381" s="514"/>
      <c r="N381" s="513"/>
      <c r="O381" s="513"/>
      <c r="P381" s="302"/>
      <c r="Q381" s="302"/>
    </row>
    <row r="382" spans="1:17" ht="18" customHeight="1" x14ac:dyDescent="0.2">
      <c r="A382" s="823"/>
      <c r="B382" s="332"/>
      <c r="C382" s="395" t="str">
        <f>IF(SCANOPY_Camera,"☐ Carte SD","")</f>
        <v>☐ Carte SD</v>
      </c>
      <c r="D382" s="353" t="str">
        <f>IF(SCANOPY_Camera,"☐ 2 Batteries","")</f>
        <v>☐ 2 Batteries</v>
      </c>
      <c r="E382" s="353" t="str">
        <f>IF(SCANOPY_Camera,"☐ Chargeur USB","")</f>
        <v>☐ Chargeur USB</v>
      </c>
      <c r="F382" s="353" t="str">
        <f>IF(SCANOPY_Camera,"☐ Remote","")</f>
        <v>☐ Remote</v>
      </c>
      <c r="G382" s="395"/>
      <c r="H382" s="353"/>
      <c r="I382" s="514"/>
      <c r="J382" s="514"/>
      <c r="K382" s="353"/>
      <c r="L382" s="353"/>
      <c r="M382" s="353"/>
      <c r="N382" s="513"/>
      <c r="O382" s="513"/>
      <c r="P382" s="302"/>
      <c r="Q382" s="302"/>
    </row>
    <row r="383" spans="1:17" ht="18" customHeight="1" x14ac:dyDescent="0.2">
      <c r="A383" s="823"/>
      <c r="B383" s="310"/>
      <c r="C383" s="395" t="str">
        <f>IF(SCANOPY_CaseAndMount,"☐ OMount Balancé","")</f>
        <v/>
      </c>
      <c r="D383" s="515"/>
      <c r="E383" s="513" t="str">
        <f>IF(AND(SCANOPY_CaseAndMount,SCANOPY_IndexScanner=1),"☐ Pare Soleil","")</f>
        <v/>
      </c>
      <c r="F383" s="395" t="str">
        <f>IF(SCANOPY_CaseAndMount,"☐ Valise","")</f>
        <v/>
      </c>
      <c r="G383" s="513"/>
      <c r="H383" s="513"/>
      <c r="I383" s="513"/>
      <c r="J383" s="513"/>
      <c r="K383" s="513"/>
      <c r="L383" s="513"/>
      <c r="M383" s="513"/>
      <c r="N383" s="513"/>
      <c r="O383" s="513"/>
      <c r="P383" s="302"/>
      <c r="Q383" s="302"/>
    </row>
    <row r="384" spans="1:17" ht="18" customHeight="1" x14ac:dyDescent="0.2">
      <c r="A384" s="596"/>
      <c r="B384" s="310"/>
      <c r="C384" s="395"/>
      <c r="D384" s="395"/>
      <c r="E384" s="395"/>
      <c r="F384" s="395"/>
      <c r="G384" s="395"/>
      <c r="H384" s="353"/>
      <c r="I384" s="353"/>
      <c r="J384" s="517"/>
      <c r="K384" s="517"/>
      <c r="L384" s="517"/>
      <c r="M384" s="517"/>
      <c r="N384" s="513"/>
      <c r="O384" s="513"/>
      <c r="P384" s="302"/>
      <c r="Q384" s="302"/>
    </row>
    <row r="385" spans="1:17" ht="18" customHeight="1" x14ac:dyDescent="0.2">
      <c r="A385" s="823" t="str">
        <f>"CAMERA "&amp;_xlfn.AGGREGATE(3,7,$B$381)+1</f>
        <v>CAMERA 2</v>
      </c>
      <c r="B385" s="332" t="str">
        <f>"CAMERA "&amp;_xlfn.AGGREGATE(3,7,$B$381)+1</f>
        <v>CAMERA 2</v>
      </c>
      <c r="C385" s="395" t="str">
        <f>IF(SCANOPY_Camera,
IF(SCANOPY_IndexScanner=1,"Camera α","Camera"),"")</f>
        <v>Camera α</v>
      </c>
      <c r="D385" s="511">
        <f>IF(SCANOPY_Camera,
IF(SCANOPY_IndexScanner=1,SCANOPY_CameraModel,SCANOPY_CameraModel_Mini),"")</f>
        <v>6100</v>
      </c>
      <c r="E385" s="510"/>
      <c r="F385" s="575" t="s">
        <v>324</v>
      </c>
      <c r="G385" s="512" t="str">
        <f>IF(SCANOPY_IndexScanner=1,"Madoka","GoPro LM2")</f>
        <v>Madoka</v>
      </c>
      <c r="H385" s="513" t="s">
        <v>154</v>
      </c>
      <c r="I385" s="512"/>
      <c r="J385" s="395" t="str">
        <f>IF(SCANOPY_Camera,"☐ Documents et items manufacturier","")</f>
        <v>☐ Documents et items manufacturier</v>
      </c>
      <c r="K385" s="515"/>
      <c r="L385" s="514"/>
      <c r="M385" s="514"/>
      <c r="N385" s="513"/>
      <c r="O385" s="513"/>
      <c r="P385" s="302"/>
      <c r="Q385" s="302"/>
    </row>
    <row r="386" spans="1:17" ht="18" customHeight="1" x14ac:dyDescent="0.2">
      <c r="A386" s="823"/>
      <c r="B386" s="332"/>
      <c r="C386" s="395" t="str">
        <f>IF(SCANOPY_Camera,"☐ Carte SD","")</f>
        <v>☐ Carte SD</v>
      </c>
      <c r="D386" s="353" t="str">
        <f>IF(SCANOPY_Camera,"☐ 2 Batteries","")</f>
        <v>☐ 2 Batteries</v>
      </c>
      <c r="E386" s="353" t="str">
        <f>IF(SCANOPY_Camera,"☐ Chargeur USB","")</f>
        <v>☐ Chargeur USB</v>
      </c>
      <c r="F386" s="353" t="str">
        <f>IF(SCANOPY_Camera,"☐ Remote","")</f>
        <v>☐ Remote</v>
      </c>
      <c r="G386" s="395"/>
      <c r="H386" s="353"/>
      <c r="I386" s="514"/>
      <c r="J386" s="514"/>
      <c r="K386" s="353"/>
      <c r="L386" s="353"/>
      <c r="M386" s="353"/>
      <c r="N386" s="513"/>
      <c r="O386" s="513"/>
      <c r="P386" s="302"/>
      <c r="Q386" s="302"/>
    </row>
    <row r="387" spans="1:17" ht="18" customHeight="1" x14ac:dyDescent="0.2">
      <c r="A387" s="823"/>
      <c r="B387" s="310"/>
      <c r="C387" s="395" t="str">
        <f>IF(SCANOPY_CaseAndMount,"☐ OMount Balancé","")</f>
        <v/>
      </c>
      <c r="D387" s="515"/>
      <c r="E387" s="513" t="str">
        <f>IF(AND(SCANOPY_CaseAndMount,SCANOPY_IndexScanner=1),"☐ Pare Soleil","")</f>
        <v/>
      </c>
      <c r="F387" s="395" t="str">
        <f>IF(SCANOPY_CaseAndMount,"☐ Valise","")</f>
        <v/>
      </c>
      <c r="G387" s="513"/>
      <c r="H387" s="513"/>
      <c r="I387" s="513"/>
      <c r="J387" s="513"/>
      <c r="K387" s="513"/>
      <c r="L387" s="513"/>
      <c r="M387" s="513"/>
      <c r="N387" s="513"/>
      <c r="O387" s="513"/>
      <c r="P387" s="302"/>
      <c r="Q387" s="302"/>
    </row>
    <row r="388" spans="1:17" ht="18" customHeight="1" x14ac:dyDescent="0.2">
      <c r="A388" s="596"/>
      <c r="B388" s="310"/>
      <c r="C388" s="395"/>
      <c r="D388" s="395"/>
      <c r="E388" s="395"/>
      <c r="F388" s="395"/>
      <c r="G388" s="395"/>
      <c r="H388" s="353"/>
      <c r="I388" s="353"/>
      <c r="J388" s="517"/>
      <c r="K388" s="517"/>
      <c r="L388" s="517"/>
      <c r="M388" s="517"/>
      <c r="N388" s="513"/>
      <c r="O388" s="513"/>
      <c r="P388" s="302"/>
      <c r="Q388" s="302"/>
    </row>
    <row r="389" spans="1:17" ht="18" customHeight="1" x14ac:dyDescent="0.2">
      <c r="A389" s="823" t="str">
        <f>"CAMERA "&amp;_xlfn.AGGREGATE(3,7,$B$381,$B$385)+1</f>
        <v>CAMERA 3</v>
      </c>
      <c r="B389" s="332" t="str">
        <f>"CAMERA "&amp;_xlfn.AGGREGATE(3,7,$B$381,$B$385)+1</f>
        <v>CAMERA 3</v>
      </c>
      <c r="C389" s="395" t="str">
        <f>IF(SCANOPY_Camera,
IF(SCANOPY_IndexScanner=1,"Camera α","Camera"),"")</f>
        <v>Camera α</v>
      </c>
      <c r="D389" s="511">
        <f>IF(SCANOPY_Camera,
IF(SCANOPY_IndexScanner=1,SCANOPY_CameraModel,SCANOPY_CameraModel_Mini),"")</f>
        <v>6100</v>
      </c>
      <c r="E389" s="510"/>
      <c r="F389" s="575" t="s">
        <v>324</v>
      </c>
      <c r="G389" s="512" t="str">
        <f>IF(SCANOPY_IndexScanner=1,"Madoka","GoPro LM2")</f>
        <v>Madoka</v>
      </c>
      <c r="H389" s="513" t="s">
        <v>154</v>
      </c>
      <c r="I389" s="512"/>
      <c r="J389" s="395" t="str">
        <f>IF(SCANOPY_Camera,"☐ Documents et items manufacturier","")</f>
        <v>☐ Documents et items manufacturier</v>
      </c>
      <c r="K389" s="515"/>
      <c r="L389" s="514"/>
      <c r="M389" s="514"/>
      <c r="N389" s="513"/>
      <c r="O389" s="513"/>
      <c r="P389" s="302"/>
      <c r="Q389" s="302"/>
    </row>
    <row r="390" spans="1:17" ht="18" customHeight="1" x14ac:dyDescent="0.2">
      <c r="A390" s="823"/>
      <c r="B390" s="332"/>
      <c r="C390" s="395" t="str">
        <f>IF(SCANOPY_Camera,"☐ Carte SD","")</f>
        <v>☐ Carte SD</v>
      </c>
      <c r="D390" s="353" t="str">
        <f>IF(SCANOPY_Camera,"☐ 2 Batteries","")</f>
        <v>☐ 2 Batteries</v>
      </c>
      <c r="E390" s="353" t="str">
        <f>IF(SCANOPY_Camera,"☐ Chargeur USB","")</f>
        <v>☐ Chargeur USB</v>
      </c>
      <c r="F390" s="353" t="str">
        <f>IF(SCANOPY_Camera,"☐ Remote","")</f>
        <v>☐ Remote</v>
      </c>
      <c r="G390" s="395"/>
      <c r="H390" s="353"/>
      <c r="I390" s="514"/>
      <c r="J390" s="514"/>
      <c r="K390" s="353"/>
      <c r="L390" s="353"/>
      <c r="M390" s="353"/>
      <c r="N390" s="513"/>
      <c r="O390" s="513"/>
      <c r="P390" s="302"/>
      <c r="Q390" s="302"/>
    </row>
    <row r="391" spans="1:17" ht="18" customHeight="1" x14ac:dyDescent="0.2">
      <c r="A391" s="823"/>
      <c r="B391" s="310"/>
      <c r="C391" s="395" t="str">
        <f>IF(SCANOPY_CaseAndMount,"☐ OMount Balancé","")</f>
        <v/>
      </c>
      <c r="D391" s="515"/>
      <c r="E391" s="513" t="str">
        <f>IF(AND(SCANOPY_CaseAndMount,SCANOPY_IndexScanner=1),"☐ Pare Soleil","")</f>
        <v/>
      </c>
      <c r="F391" s="395" t="str">
        <f>IF(SCANOPY_CaseAndMount,"☐ Valise","")</f>
        <v/>
      </c>
      <c r="G391" s="513"/>
      <c r="H391" s="513"/>
      <c r="I391" s="513"/>
      <c r="J391" s="513"/>
      <c r="K391" s="513"/>
      <c r="L391" s="513"/>
      <c r="M391" s="513"/>
      <c r="N391" s="513"/>
      <c r="O391" s="513"/>
      <c r="P391" s="302"/>
      <c r="Q391" s="302"/>
    </row>
    <row r="392" spans="1:17" ht="18" customHeight="1" x14ac:dyDescent="0.2">
      <c r="A392" s="596"/>
      <c r="B392" s="310"/>
      <c r="C392" s="395"/>
      <c r="D392" s="395"/>
      <c r="E392" s="395"/>
      <c r="F392" s="395"/>
      <c r="G392" s="395"/>
      <c r="H392" s="353"/>
      <c r="I392" s="353"/>
      <c r="J392" s="517"/>
      <c r="K392" s="517"/>
      <c r="L392" s="517"/>
      <c r="M392" s="517"/>
      <c r="N392" s="513"/>
      <c r="O392" s="513"/>
      <c r="P392" s="302"/>
      <c r="Q392" s="302"/>
    </row>
    <row r="393" spans="1:17" ht="18" customHeight="1" x14ac:dyDescent="0.2">
      <c r="A393" s="823" t="str">
        <f>"CAMERA "&amp;_xlfn.AGGREGATE(3,7,$B$381,$B$385,$B$389)+1</f>
        <v>CAMERA 4</v>
      </c>
      <c r="B393" s="332" t="str">
        <f>"CAMERA "&amp;_xlfn.AGGREGATE(3,7,$B$381,$B$385,$B$389)+1</f>
        <v>CAMERA 4</v>
      </c>
      <c r="C393" s="395" t="str">
        <f>IF(SCANOPY_Camera,
IF(SCANOPY_IndexScanner=1,"Camera α","Camera"),"")</f>
        <v>Camera α</v>
      </c>
      <c r="D393" s="511">
        <f>IF(SCANOPY_Camera,
IF(SCANOPY_IndexScanner=1,SCANOPY_CameraModel,SCANOPY_CameraModel_Mini),"")</f>
        <v>6100</v>
      </c>
      <c r="E393" s="510"/>
      <c r="F393" s="575" t="s">
        <v>324</v>
      </c>
      <c r="G393" s="512" t="str">
        <f>IF(SCANOPY_IndexScanner=1,"Madoka","GoPro LM2")</f>
        <v>Madoka</v>
      </c>
      <c r="H393" s="513" t="s">
        <v>154</v>
      </c>
      <c r="I393" s="512"/>
      <c r="J393" s="395" t="str">
        <f>IF(SCANOPY_Camera,"☐ Documents et items manufacturier","")</f>
        <v>☐ Documents et items manufacturier</v>
      </c>
      <c r="K393" s="515"/>
      <c r="L393" s="514"/>
      <c r="M393" s="514"/>
      <c r="N393" s="513"/>
      <c r="O393" s="513"/>
      <c r="P393" s="302"/>
      <c r="Q393" s="302"/>
    </row>
    <row r="394" spans="1:17" ht="18" customHeight="1" x14ac:dyDescent="0.2">
      <c r="A394" s="823"/>
      <c r="B394" s="332"/>
      <c r="C394" s="395" t="str">
        <f>IF(SCANOPY_Camera,"☐ Carte SD","")</f>
        <v>☐ Carte SD</v>
      </c>
      <c r="D394" s="353" t="str">
        <f>IF(SCANOPY_Camera,"☐ 2 Batteries","")</f>
        <v>☐ 2 Batteries</v>
      </c>
      <c r="E394" s="353" t="str">
        <f>IF(SCANOPY_Camera,"☐ Chargeur USB","")</f>
        <v>☐ Chargeur USB</v>
      </c>
      <c r="F394" s="353" t="str">
        <f>IF(SCANOPY_Camera,"☐ Remote","")</f>
        <v>☐ Remote</v>
      </c>
      <c r="G394" s="395"/>
      <c r="H394" s="353"/>
      <c r="I394" s="514"/>
      <c r="J394" s="514"/>
      <c r="K394" s="353"/>
      <c r="L394" s="353"/>
      <c r="M394" s="353"/>
      <c r="N394" s="513"/>
      <c r="O394" s="513"/>
      <c r="P394" s="302"/>
      <c r="Q394" s="302"/>
    </row>
    <row r="395" spans="1:17" ht="18" customHeight="1" x14ac:dyDescent="0.2">
      <c r="A395" s="823"/>
      <c r="B395" s="310"/>
      <c r="C395" s="395" t="str">
        <f>IF(SCANOPY_CaseAndMount,"☐ OMount Balancé","")</f>
        <v/>
      </c>
      <c r="D395" s="515"/>
      <c r="E395" s="513" t="str">
        <f>IF(AND(SCANOPY_CaseAndMount,SCANOPY_IndexScanner=1),"☐ Pare Soleil","")</f>
        <v/>
      </c>
      <c r="F395" s="395" t="str">
        <f>IF(SCANOPY_CaseAndMount,"☐ Valise","")</f>
        <v/>
      </c>
      <c r="G395" s="513"/>
      <c r="H395" s="513"/>
      <c r="I395" s="513"/>
      <c r="J395" s="513"/>
      <c r="K395" s="513"/>
      <c r="L395" s="513"/>
      <c r="M395" s="513"/>
      <c r="N395" s="513"/>
      <c r="O395" s="513"/>
      <c r="P395" s="302"/>
      <c r="Q395" s="302"/>
    </row>
    <row r="396" spans="1:17" ht="18" customHeight="1" x14ac:dyDescent="0.2">
      <c r="A396" s="596"/>
      <c r="B396" s="310"/>
      <c r="C396" s="395"/>
      <c r="D396" s="395"/>
      <c r="E396" s="395"/>
      <c r="F396" s="395"/>
      <c r="G396" s="395"/>
      <c r="H396" s="353"/>
      <c r="I396" s="353"/>
      <c r="J396" s="517"/>
      <c r="K396" s="517"/>
      <c r="L396" s="517"/>
      <c r="M396" s="517"/>
      <c r="N396" s="513"/>
      <c r="O396" s="513"/>
      <c r="P396" s="302"/>
      <c r="Q396" s="302"/>
    </row>
    <row r="397" spans="1:17" ht="18" customHeight="1" x14ac:dyDescent="0.2">
      <c r="A397" s="823" t="str">
        <f>"CAMERA "&amp;_xlfn.AGGREGATE(3,7,$B$381,$B$385,$B$49,$B$393)+1</f>
        <v>CAMERA 5</v>
      </c>
      <c r="B397" s="332" t="str">
        <f>"CAMERA "&amp;_xlfn.AGGREGATE(3,7,$B$381,$B$385,$B$49,$B$393)+1</f>
        <v>CAMERA 5</v>
      </c>
      <c r="C397" s="395" t="str">
        <f>IF(SCANOPY_Camera,
IF(SCANOPY_IndexScanner=1,"Camera α","Camera"),"")</f>
        <v>Camera α</v>
      </c>
      <c r="D397" s="511">
        <f>IF(SCANOPY_Camera,
IF(SCANOPY_IndexScanner=1,SCANOPY_CameraModel,SCANOPY_CameraModel_Mini),"")</f>
        <v>6100</v>
      </c>
      <c r="E397" s="510"/>
      <c r="F397" s="575" t="s">
        <v>324</v>
      </c>
      <c r="G397" s="512" t="str">
        <f>IF(SCANOPY_IndexScanner=1,"Madoka","GoPro LM2")</f>
        <v>Madoka</v>
      </c>
      <c r="H397" s="513" t="s">
        <v>154</v>
      </c>
      <c r="I397" s="512"/>
      <c r="J397" s="395" t="str">
        <f>IF(SCANOPY_Camera,"☐ Documents et items manufacturier","")</f>
        <v>☐ Documents et items manufacturier</v>
      </c>
      <c r="K397" s="515"/>
      <c r="L397" s="514"/>
      <c r="M397" s="514"/>
      <c r="N397" s="513"/>
      <c r="O397" s="513"/>
      <c r="P397" s="302"/>
      <c r="Q397" s="302"/>
    </row>
    <row r="398" spans="1:17" ht="18" customHeight="1" x14ac:dyDescent="0.2">
      <c r="A398" s="823"/>
      <c r="B398" s="332"/>
      <c r="C398" s="395" t="str">
        <f>IF(SCANOPY_Camera,"☐ Carte SD","")</f>
        <v>☐ Carte SD</v>
      </c>
      <c r="D398" s="353" t="str">
        <f>IF(SCANOPY_Camera,"☐ 2 Batteries","")</f>
        <v>☐ 2 Batteries</v>
      </c>
      <c r="E398" s="353" t="str">
        <f>IF(SCANOPY_Camera,"☐ Chargeur USB","")</f>
        <v>☐ Chargeur USB</v>
      </c>
      <c r="F398" s="353" t="str">
        <f>IF(SCANOPY_Camera,"☐ Remote","")</f>
        <v>☐ Remote</v>
      </c>
      <c r="G398" s="395"/>
      <c r="H398" s="353"/>
      <c r="I398" s="514"/>
      <c r="J398" s="514"/>
      <c r="K398" s="353"/>
      <c r="L398" s="353"/>
      <c r="M398" s="353"/>
      <c r="N398" s="513"/>
      <c r="O398" s="513"/>
      <c r="P398" s="302"/>
      <c r="Q398" s="302"/>
    </row>
    <row r="399" spans="1:17" ht="18" customHeight="1" x14ac:dyDescent="0.2">
      <c r="A399" s="823"/>
      <c r="B399" s="310"/>
      <c r="C399" s="395" t="str">
        <f>IF(SCANOPY_CaseAndMount,"☐ OMount Balancé","")</f>
        <v/>
      </c>
      <c r="D399" s="515"/>
      <c r="E399" s="513" t="str">
        <f>IF(AND(SCANOPY_CaseAndMount,SCANOPY_IndexScanner=1),"☐ Pare Soleil","")</f>
        <v/>
      </c>
      <c r="F399" s="395" t="str">
        <f>IF(SCANOPY_CaseAndMount,"☐ Valise","")</f>
        <v/>
      </c>
      <c r="G399" s="513"/>
      <c r="H399" s="513"/>
      <c r="I399" s="513"/>
      <c r="J399" s="513"/>
      <c r="K399" s="513"/>
      <c r="L399" s="513"/>
      <c r="M399" s="513"/>
      <c r="N399" s="513"/>
      <c r="O399" s="513"/>
      <c r="P399" s="302"/>
      <c r="Q399" s="302"/>
    </row>
    <row r="400" spans="1:17" ht="18" customHeight="1" x14ac:dyDescent="0.25">
      <c r="A400" s="558"/>
      <c r="B400" s="355" t="s">
        <v>150</v>
      </c>
      <c r="C400" s="569" t="s">
        <v>150</v>
      </c>
      <c r="D400" s="528"/>
      <c r="E400" s="528"/>
      <c r="F400" s="528"/>
      <c r="G400" s="529"/>
      <c r="H400" s="530"/>
      <c r="I400" s="530"/>
      <c r="J400" s="530"/>
      <c r="K400" s="530"/>
      <c r="L400" s="530"/>
      <c r="M400" s="530"/>
      <c r="N400" s="530"/>
      <c r="O400" s="513"/>
      <c r="P400" s="302"/>
      <c r="Q400" s="302"/>
    </row>
    <row r="401" spans="1:17" ht="18" customHeight="1" x14ac:dyDescent="0.2">
      <c r="A401" s="599"/>
      <c r="B401" s="309"/>
      <c r="C401" s="531"/>
      <c r="D401" s="531"/>
      <c r="E401" s="531"/>
      <c r="F401" s="531"/>
      <c r="G401" s="531"/>
      <c r="H401" s="531"/>
      <c r="I401" s="531"/>
      <c r="J401" s="531"/>
      <c r="K401" s="531"/>
      <c r="L401" s="531"/>
      <c r="M401" s="531"/>
      <c r="N401" s="531"/>
      <c r="O401" s="513"/>
      <c r="P401" s="302"/>
      <c r="Q401" s="302"/>
    </row>
    <row r="402" spans="1:17" ht="16.25" customHeight="1" x14ac:dyDescent="0.2">
      <c r="A402" s="824"/>
      <c r="B402" s="333" t="s">
        <v>270</v>
      </c>
      <c r="C402" s="395" t="s">
        <v>291</v>
      </c>
      <c r="D402" s="395"/>
      <c r="E402" s="510"/>
      <c r="F402" s="395" t="s">
        <v>287</v>
      </c>
      <c r="G402" s="394"/>
      <c r="H402" s="395" t="s">
        <v>288</v>
      </c>
      <c r="I402" s="395"/>
      <c r="J402" s="395" t="s">
        <v>277</v>
      </c>
      <c r="K402" s="353"/>
      <c r="L402" s="514"/>
      <c r="M402" s="395" t="s">
        <v>289</v>
      </c>
      <c r="N402" s="513"/>
      <c r="O402" s="513"/>
      <c r="P402" s="302"/>
      <c r="Q402" s="302"/>
    </row>
    <row r="403" spans="1:17" ht="13.25" customHeight="1" x14ac:dyDescent="0.2">
      <c r="A403" s="824"/>
      <c r="B403" s="333"/>
      <c r="C403" s="395"/>
      <c r="D403" s="395"/>
      <c r="E403" s="395"/>
      <c r="F403" s="395"/>
      <c r="G403" s="394"/>
      <c r="H403" s="395"/>
      <c r="I403" s="395"/>
      <c r="J403" s="395"/>
      <c r="K403" s="395"/>
      <c r="L403" s="395"/>
      <c r="M403" s="395"/>
      <c r="N403" s="513"/>
      <c r="O403" s="513"/>
      <c r="P403" s="302"/>
      <c r="Q403" s="302"/>
    </row>
    <row r="404" spans="1:17" ht="16.25" customHeight="1" x14ac:dyDescent="0.2">
      <c r="A404" s="824"/>
      <c r="B404" s="333" t="s">
        <v>271</v>
      </c>
      <c r="C404" s="395" t="s">
        <v>291</v>
      </c>
      <c r="D404" s="395"/>
      <c r="E404" s="510"/>
      <c r="F404" s="395" t="s">
        <v>287</v>
      </c>
      <c r="G404" s="394"/>
      <c r="H404" s="395" t="s">
        <v>288</v>
      </c>
      <c r="I404" s="395"/>
      <c r="J404" s="395" t="s">
        <v>277</v>
      </c>
      <c r="K404" s="395"/>
      <c r="L404" s="395"/>
      <c r="M404" s="395" t="s">
        <v>289</v>
      </c>
      <c r="N404" s="513"/>
      <c r="O404" s="513"/>
      <c r="P404" s="302"/>
      <c r="Q404" s="302"/>
    </row>
    <row r="405" spans="1:17" ht="16.25" customHeight="1" x14ac:dyDescent="0.2">
      <c r="A405" s="824"/>
      <c r="B405" s="333"/>
      <c r="C405" s="395"/>
      <c r="D405" s="395"/>
      <c r="E405" s="395"/>
      <c r="F405" s="395"/>
      <c r="G405" s="394"/>
      <c r="H405" s="395"/>
      <c r="I405" s="395"/>
      <c r="J405" s="395"/>
      <c r="K405" s="395"/>
      <c r="L405" s="395"/>
      <c r="M405" s="395"/>
      <c r="N405" s="513"/>
      <c r="O405" s="513"/>
      <c r="P405" s="302"/>
      <c r="Q405" s="302"/>
    </row>
    <row r="406" spans="1:17" ht="16.25" customHeight="1" x14ac:dyDescent="0.2">
      <c r="A406" s="824"/>
      <c r="B406" s="333" t="s">
        <v>272</v>
      </c>
      <c r="C406" s="395" t="s">
        <v>291</v>
      </c>
      <c r="D406" s="395"/>
      <c r="E406" s="510"/>
      <c r="F406" s="395" t="s">
        <v>287</v>
      </c>
      <c r="G406" s="394"/>
      <c r="H406" s="395" t="s">
        <v>288</v>
      </c>
      <c r="I406" s="395"/>
      <c r="J406" s="395" t="s">
        <v>277</v>
      </c>
      <c r="K406" s="395"/>
      <c r="L406" s="395"/>
      <c r="M406" s="395" t="s">
        <v>289</v>
      </c>
      <c r="N406" s="513"/>
      <c r="O406" s="513"/>
      <c r="P406" s="302"/>
      <c r="Q406" s="302"/>
    </row>
    <row r="407" spans="1:17" ht="16.25" customHeight="1" x14ac:dyDescent="0.2">
      <c r="A407" s="824"/>
      <c r="B407" s="333"/>
      <c r="C407" s="395"/>
      <c r="D407" s="395"/>
      <c r="E407" s="395"/>
      <c r="F407" s="395"/>
      <c r="G407" s="394"/>
      <c r="H407" s="395"/>
      <c r="I407" s="395"/>
      <c r="J407" s="395"/>
      <c r="K407" s="395"/>
      <c r="L407" s="395"/>
      <c r="M407" s="395"/>
      <c r="N407" s="513"/>
      <c r="O407" s="513"/>
      <c r="P407" s="302"/>
      <c r="Q407" s="302"/>
    </row>
    <row r="408" spans="1:17" ht="16.25" customHeight="1" x14ac:dyDescent="0.2">
      <c r="A408" s="824"/>
      <c r="B408" s="333" t="s">
        <v>273</v>
      </c>
      <c r="C408" s="395" t="s">
        <v>291</v>
      </c>
      <c r="D408" s="395"/>
      <c r="E408" s="510"/>
      <c r="F408" s="395" t="s">
        <v>287</v>
      </c>
      <c r="G408" s="394"/>
      <c r="H408" s="395" t="s">
        <v>288</v>
      </c>
      <c r="I408" s="395"/>
      <c r="J408" s="395" t="s">
        <v>277</v>
      </c>
      <c r="K408" s="395"/>
      <c r="L408" s="395"/>
      <c r="M408" s="395" t="s">
        <v>289</v>
      </c>
      <c r="N408" s="513"/>
      <c r="O408" s="513"/>
      <c r="P408" s="302"/>
      <c r="Q408" s="302"/>
    </row>
    <row r="409" spans="1:17" ht="16.25" customHeight="1" x14ac:dyDescent="0.2">
      <c r="A409" s="824"/>
      <c r="B409" s="333"/>
      <c r="C409" s="395"/>
      <c r="D409" s="395"/>
      <c r="E409" s="395"/>
      <c r="F409" s="395"/>
      <c r="G409" s="394"/>
      <c r="H409" s="395"/>
      <c r="I409" s="395"/>
      <c r="J409" s="395"/>
      <c r="K409" s="395"/>
      <c r="L409" s="395"/>
      <c r="M409" s="395"/>
      <c r="N409" s="513"/>
      <c r="O409" s="513"/>
      <c r="P409" s="302"/>
      <c r="Q409" s="302"/>
    </row>
    <row r="410" spans="1:17" ht="16.25" customHeight="1" x14ac:dyDescent="0.2">
      <c r="A410" s="597"/>
      <c r="B410" s="333" t="s">
        <v>274</v>
      </c>
      <c r="C410" s="395" t="s">
        <v>291</v>
      </c>
      <c r="D410" s="395"/>
      <c r="E410" s="510"/>
      <c r="F410" s="395" t="s">
        <v>287</v>
      </c>
      <c r="G410" s="394"/>
      <c r="H410" s="395" t="s">
        <v>288</v>
      </c>
      <c r="I410" s="395"/>
      <c r="J410" s="395" t="s">
        <v>277</v>
      </c>
      <c r="K410" s="395"/>
      <c r="L410" s="395"/>
      <c r="M410" s="395" t="s">
        <v>289</v>
      </c>
      <c r="N410" s="513"/>
      <c r="O410" s="513"/>
      <c r="P410" s="302"/>
      <c r="Q410" s="302"/>
    </row>
    <row r="411" spans="1:17" ht="18" customHeight="1" x14ac:dyDescent="0.2">
      <c r="A411" s="601"/>
      <c r="B411" s="340"/>
      <c r="C411" s="518"/>
      <c r="D411" s="518"/>
      <c r="E411" s="518"/>
      <c r="F411" s="518"/>
      <c r="G411" s="518"/>
      <c r="H411" s="519"/>
      <c r="I411" s="518"/>
      <c r="J411" s="518"/>
      <c r="K411" s="519"/>
      <c r="L411" s="518"/>
      <c r="M411" s="518"/>
      <c r="N411" s="518"/>
      <c r="O411" s="513"/>
      <c r="P411" s="302"/>
      <c r="Q411" s="302"/>
    </row>
    <row r="412" spans="1:17" ht="18" customHeight="1" x14ac:dyDescent="0.2">
      <c r="A412" s="837"/>
      <c r="B412" s="333" t="s">
        <v>270</v>
      </c>
      <c r="C412" s="395" t="str">
        <f>"☐ " &amp; RHIZO_Option1-1 &amp; "x__2TraysSTD 15x20, 20x25 cm"</f>
        <v>☐ 0x__2TraysSTD 15x20, 20x25 cm</v>
      </c>
      <c r="D412" s="395"/>
      <c r="E412" s="395"/>
      <c r="F412" s="395"/>
      <c r="G412" s="394"/>
      <c r="H412" s="395" t="str">
        <f>"☐ " &amp; RHIZO_Option6-1 &amp; "x__2TraysLA 25x35, 30x40 cm"</f>
        <v>☐ 0x__2TraysLA 25x35, 30x40 cm</v>
      </c>
      <c r="I412" s="395"/>
      <c r="J412" s="395"/>
      <c r="K412" s="395" t="str">
        <f>"☐ " &amp; RHIZO_Option7-1 &amp; "x__3TraysLA 20x30, 25x35, 30x40 cm"</f>
        <v>☐ 0x__3TraysLA 20x30, 25x35, 30x40 cm</v>
      </c>
      <c r="L412" s="395"/>
      <c r="M412" s="395"/>
      <c r="N412" s="513"/>
      <c r="O412" s="513"/>
      <c r="P412" s="302"/>
      <c r="Q412" s="302"/>
    </row>
    <row r="413" spans="1:17" ht="18" customHeight="1" x14ac:dyDescent="0.2">
      <c r="A413" s="837"/>
      <c r="B413" s="333"/>
      <c r="C413" s="395" t="str">
        <f>"☐ " &amp; RHIZO_Option2-1 &amp; "x__3TraysSTD 10x15, 15x20, 20x25 cm"</f>
        <v>☐ 0x__3TraysSTD 10x15, 15x20, 20x25 cm</v>
      </c>
      <c r="D413" s="395"/>
      <c r="E413" s="395"/>
      <c r="F413" s="395"/>
      <c r="G413" s="394"/>
      <c r="H413" s="395" t="str">
        <f>"☐ " &amp; RHIZO_Option8-1 &amp; "x__5TraysLA 10x15, 15x20, 20x30, 25x35, 30x40 cm"</f>
        <v>☐ 0x__5TraysLA 10x15, 15x20, 20x30, 25x35, 30x40 cm</v>
      </c>
      <c r="I413" s="395"/>
      <c r="J413" s="395"/>
      <c r="K413" s="395"/>
      <c r="L413" s="395"/>
      <c r="M413" s="395"/>
      <c r="N413" s="513"/>
      <c r="O413" s="513"/>
      <c r="P413" s="302"/>
      <c r="Q413" s="302"/>
    </row>
    <row r="414" spans="1:17" ht="18" customHeight="1" x14ac:dyDescent="0.2">
      <c r="A414" s="837"/>
      <c r="B414" s="333"/>
      <c r="C414" s="704" t="str">
        <f>"☐ " &amp; RHIZO_Option3-1 &amp; "x__10x15"</f>
        <v>☐ 0x__10x15</v>
      </c>
      <c r="D414" s="704" t="str">
        <f>"☐ " &amp; RHIZO_Option4-1 &amp; "x__15x20"</f>
        <v>☐ 0x__15x20</v>
      </c>
      <c r="E414" s="704" t="str">
        <f>"☐ " &amp; RHIZO_Option5-1 &amp; "x__20x25"</f>
        <v>☐ 0x__20x25</v>
      </c>
      <c r="F414" s="395"/>
      <c r="G414" s="394"/>
      <c r="H414" s="704" t="str">
        <f>"☐ " &amp; RHIZO_Option9-1 &amp; "x__20x30"</f>
        <v>☐ 0x__20x30</v>
      </c>
      <c r="I414" s="514"/>
      <c r="J414" s="704" t="str">
        <f>"☐ " &amp; RHIZO_Option10-1 &amp; "x__25x35"</f>
        <v>☐ 0x__25x35</v>
      </c>
      <c r="K414" s="515"/>
      <c r="L414" s="704" t="str">
        <f>"☐ " &amp; RHIZO_Option11-1 &amp; "x__30x40"</f>
        <v>☐ 0x__30x40</v>
      </c>
      <c r="M414" s="395"/>
      <c r="N414" s="513"/>
      <c r="O414" s="513"/>
      <c r="P414" s="302"/>
      <c r="Q414" s="302"/>
    </row>
    <row r="415" spans="1:17" ht="18" customHeight="1" x14ac:dyDescent="0.2">
      <c r="A415" s="603"/>
      <c r="B415" s="341"/>
      <c r="C415" s="520"/>
      <c r="D415" s="520"/>
      <c r="E415" s="520"/>
      <c r="F415" s="520"/>
      <c r="G415" s="520"/>
      <c r="H415" s="521"/>
      <c r="I415" s="520"/>
      <c r="J415" s="520"/>
      <c r="K415" s="521"/>
      <c r="L415" s="520"/>
      <c r="M415" s="520"/>
      <c r="N415" s="520"/>
      <c r="O415" s="513"/>
      <c r="P415" s="302"/>
      <c r="Q415" s="302"/>
    </row>
    <row r="416" spans="1:17" ht="18" customHeight="1" x14ac:dyDescent="0.2">
      <c r="A416" s="602"/>
      <c r="B416" s="333" t="s">
        <v>270</v>
      </c>
      <c r="C416" s="395" t="s">
        <v>275</v>
      </c>
      <c r="D416" s="395" t="s">
        <v>310</v>
      </c>
      <c r="E416" s="395" t="s">
        <v>311</v>
      </c>
      <c r="F416" s="395" t="s">
        <v>322</v>
      </c>
      <c r="G416" s="395" t="s">
        <v>276</v>
      </c>
      <c r="H416" s="515"/>
      <c r="I416" s="395" t="s">
        <v>310</v>
      </c>
      <c r="J416" s="395" t="s">
        <v>311</v>
      </c>
      <c r="K416" s="395" t="s">
        <v>322</v>
      </c>
      <c r="L416" s="514"/>
      <c r="M416" s="395" t="str">
        <f>"☐ Fond Bleu " &amp; IF(FOLIA_IndexScanner=1,"STD",IF(FOLIA_IndexScanner=2,"LA","LC"))</f>
        <v>☐ Fond Bleu STD</v>
      </c>
      <c r="N416" s="513"/>
      <c r="O416" s="513"/>
      <c r="P416" s="302"/>
      <c r="Q416" s="302"/>
    </row>
    <row r="417" spans="1:17" ht="18" customHeight="1" x14ac:dyDescent="0.2">
      <c r="A417" s="602"/>
      <c r="B417" s="333" t="s">
        <v>271</v>
      </c>
      <c r="C417" s="395" t="s">
        <v>275</v>
      </c>
      <c r="D417" s="395" t="s">
        <v>310</v>
      </c>
      <c r="E417" s="395" t="s">
        <v>311</v>
      </c>
      <c r="F417" s="395" t="s">
        <v>322</v>
      </c>
      <c r="G417" s="395" t="s">
        <v>276</v>
      </c>
      <c r="H417" s="515"/>
      <c r="I417" s="395" t="s">
        <v>310</v>
      </c>
      <c r="J417" s="395" t="s">
        <v>311</v>
      </c>
      <c r="K417" s="395" t="s">
        <v>322</v>
      </c>
      <c r="L417" s="514"/>
      <c r="M417" s="395" t="str">
        <f>"☐ Fond Bleu " &amp; IF(FOLIA_IndexScanner=1,"STD",IF(FOLIA_IndexScanner=2,"LA","LC"))</f>
        <v>☐ Fond Bleu STD</v>
      </c>
      <c r="N417" s="395"/>
      <c r="O417" s="513"/>
      <c r="P417" s="302"/>
      <c r="Q417" s="302"/>
    </row>
    <row r="418" spans="1:17" ht="18" customHeight="1" x14ac:dyDescent="0.2">
      <c r="A418" s="602"/>
      <c r="B418" s="333" t="s">
        <v>272</v>
      </c>
      <c r="C418" s="395" t="s">
        <v>275</v>
      </c>
      <c r="D418" s="395" t="s">
        <v>310</v>
      </c>
      <c r="E418" s="395" t="s">
        <v>311</v>
      </c>
      <c r="F418" s="395" t="s">
        <v>322</v>
      </c>
      <c r="G418" s="395" t="s">
        <v>276</v>
      </c>
      <c r="H418" s="515"/>
      <c r="I418" s="395" t="s">
        <v>310</v>
      </c>
      <c r="J418" s="395" t="s">
        <v>311</v>
      </c>
      <c r="K418" s="395" t="s">
        <v>322</v>
      </c>
      <c r="L418" s="514"/>
      <c r="M418" s="395" t="str">
        <f>"☐ Fond Bleu " &amp; IF(FOLIA_IndexScanner=1,"STD",IF(FOLIA_IndexScanner=2,"LA","LC"))</f>
        <v>☐ Fond Bleu STD</v>
      </c>
      <c r="N418" s="395"/>
      <c r="O418" s="513"/>
      <c r="P418" s="302"/>
      <c r="Q418" s="302"/>
    </row>
    <row r="419" spans="1:17" ht="18" customHeight="1" x14ac:dyDescent="0.2">
      <c r="A419" s="602"/>
      <c r="B419" s="333" t="s">
        <v>273</v>
      </c>
      <c r="C419" s="395" t="s">
        <v>275</v>
      </c>
      <c r="D419" s="395" t="s">
        <v>310</v>
      </c>
      <c r="E419" s="395" t="s">
        <v>311</v>
      </c>
      <c r="F419" s="395" t="s">
        <v>322</v>
      </c>
      <c r="G419" s="395" t="s">
        <v>276</v>
      </c>
      <c r="H419" s="515"/>
      <c r="I419" s="395" t="s">
        <v>310</v>
      </c>
      <c r="J419" s="395" t="s">
        <v>311</v>
      </c>
      <c r="K419" s="395" t="s">
        <v>322</v>
      </c>
      <c r="L419" s="514"/>
      <c r="M419" s="395" t="str">
        <f>"☐ Fond Bleu " &amp; IF(FOLIA_IndexScanner=1,"STD",IF(FOLIA_IndexScanner=2,"LA","LC"))</f>
        <v>☐ Fond Bleu STD</v>
      </c>
      <c r="N419" s="395"/>
      <c r="O419" s="513"/>
      <c r="P419" s="302"/>
      <c r="Q419" s="302"/>
    </row>
    <row r="420" spans="1:17" ht="18" customHeight="1" x14ac:dyDescent="0.2">
      <c r="A420" s="602"/>
      <c r="B420" s="333" t="s">
        <v>274</v>
      </c>
      <c r="C420" s="395" t="s">
        <v>275</v>
      </c>
      <c r="D420" s="395" t="s">
        <v>310</v>
      </c>
      <c r="E420" s="395" t="s">
        <v>311</v>
      </c>
      <c r="F420" s="395" t="s">
        <v>322</v>
      </c>
      <c r="G420" s="395" t="s">
        <v>276</v>
      </c>
      <c r="H420" s="515"/>
      <c r="I420" s="395" t="s">
        <v>310</v>
      </c>
      <c r="J420" s="395" t="s">
        <v>311</v>
      </c>
      <c r="K420" s="395" t="s">
        <v>322</v>
      </c>
      <c r="L420" s="514"/>
      <c r="M420" s="395" t="str">
        <f>"☐ Fond Bleu " &amp; IF(FOLIA_IndexScanner=1,"STD",IF(FOLIA_IndexScanner=2,"LA","LC"))</f>
        <v>☐ Fond Bleu STD</v>
      </c>
      <c r="N420" s="395"/>
      <c r="O420" s="513"/>
      <c r="P420" s="302"/>
      <c r="Q420" s="302"/>
    </row>
    <row r="421" spans="1:17" ht="18" customHeight="1" x14ac:dyDescent="0.2">
      <c r="A421" s="557"/>
      <c r="B421" s="336"/>
      <c r="C421" s="522"/>
      <c r="D421" s="522"/>
      <c r="E421" s="522"/>
      <c r="F421" s="522"/>
      <c r="G421" s="522"/>
      <c r="H421" s="523"/>
      <c r="I421" s="523"/>
      <c r="J421" s="523"/>
      <c r="K421" s="522"/>
      <c r="L421" s="523"/>
      <c r="M421" s="522"/>
      <c r="N421" s="522"/>
      <c r="O421" s="513"/>
      <c r="P421" s="302"/>
      <c r="Q421" s="302"/>
    </row>
    <row r="422" spans="1:17" ht="18" customHeight="1" x14ac:dyDescent="0.2">
      <c r="A422" s="822"/>
      <c r="B422" s="333" t="s">
        <v>270</v>
      </c>
      <c r="C422" s="395" t="str">
        <f>"☐ " &amp; SEEDLE_Option1-1 &amp; "x__2TraysSTD 15x20, 20x25 cm"</f>
        <v>☐ 0x__2TraysSTD 15x20, 20x25 cm</v>
      </c>
      <c r="D422" s="395"/>
      <c r="E422" s="395"/>
      <c r="F422" s="395"/>
      <c r="G422" s="394"/>
      <c r="H422" s="395" t="str">
        <f>"☐ " &amp; SEEDLE_Option6-1 &amp; "x__2TraysLA 25x35, 30x40 cm"</f>
        <v>☐ 0x__2TraysLA 25x35, 30x40 cm</v>
      </c>
      <c r="I422" s="395"/>
      <c r="J422" s="395"/>
      <c r="K422" s="395" t="str">
        <f>"☐ " &amp; SEEDLE_Option7-1 &amp; "x__3TraysLA 20x30, 25x35, 30x40 cm"</f>
        <v>☐ 0x__3TraysLA 20x30, 25x35, 30x40 cm</v>
      </c>
      <c r="L422" s="395"/>
      <c r="M422" s="395"/>
      <c r="N422" s="513"/>
      <c r="O422" s="513"/>
      <c r="P422" s="302"/>
      <c r="Q422" s="302"/>
    </row>
    <row r="423" spans="1:17" ht="18" customHeight="1" x14ac:dyDescent="0.2">
      <c r="A423" s="822"/>
      <c r="B423" s="333"/>
      <c r="C423" s="395" t="str">
        <f>"☐ " &amp; SEEDLE_Option2-1 &amp; "x__3TraysSTD 10x15, 15x20, 20x25 cm"</f>
        <v>☐ 0x__3TraysSTD 10x15, 15x20, 20x25 cm</v>
      </c>
      <c r="D423" s="395"/>
      <c r="E423" s="395"/>
      <c r="F423" s="395"/>
      <c r="G423" s="394"/>
      <c r="H423" s="395" t="str">
        <f>"☐ " &amp; SEEDLE_Option8-1 &amp; "x__5TraysLA 10x15, 15x20, 20x30, 25x35, 30x40 cm"</f>
        <v>☐ 0x__5TraysLA 10x15, 15x20, 20x30, 25x35, 30x40 cm</v>
      </c>
      <c r="I423" s="395"/>
      <c r="J423" s="395"/>
      <c r="K423" s="395"/>
      <c r="L423" s="395"/>
      <c r="M423" s="395"/>
      <c r="N423" s="513"/>
      <c r="O423" s="513"/>
      <c r="P423" s="302"/>
      <c r="Q423" s="302"/>
    </row>
    <row r="424" spans="1:17" ht="18" customHeight="1" x14ac:dyDescent="0.2">
      <c r="A424" s="822"/>
      <c r="B424" s="333"/>
      <c r="C424" s="704" t="str">
        <f>"☐ " &amp; SEEDLE_Option3-1 &amp; "x__10x15"</f>
        <v>☐ 0x__10x15</v>
      </c>
      <c r="D424" s="704" t="str">
        <f>"☐ " &amp; SEEDLE_Option4-1 &amp; "x__15x20"</f>
        <v>☐ 0x__15x20</v>
      </c>
      <c r="E424" s="704" t="str">
        <f>"☐ " &amp; SEEDLE_Option5-1 &amp; "x__20x25"</f>
        <v>☐ 0x__20x25</v>
      </c>
      <c r="F424" s="395"/>
      <c r="G424" s="394"/>
      <c r="H424" s="704" t="str">
        <f>"☐ " &amp; SEEDLE_Option9-1 &amp; "x__20x30"</f>
        <v>☐ 0x__20x30</v>
      </c>
      <c r="I424" s="514"/>
      <c r="J424" s="704" t="str">
        <f>"☐ " &amp; SEEDLE_Option10-1 &amp; "x__25x35"</f>
        <v>☐ 0x__25x35</v>
      </c>
      <c r="K424" s="515"/>
      <c r="L424" s="704" t="str">
        <f>"☐ " &amp; SEEDLE_Option11-1 &amp; "x__30x40"</f>
        <v>☐ 0x__30x40</v>
      </c>
      <c r="M424" s="395"/>
      <c r="N424" s="513"/>
      <c r="O424" s="513"/>
      <c r="P424" s="302"/>
      <c r="Q424" s="302"/>
    </row>
    <row r="425" spans="1:17" ht="18" customHeight="1" x14ac:dyDescent="0.2">
      <c r="A425" s="559"/>
      <c r="B425" s="337"/>
      <c r="C425" s="524"/>
      <c r="D425" s="524"/>
      <c r="E425" s="524"/>
      <c r="F425" s="524"/>
      <c r="G425" s="524"/>
      <c r="H425" s="525"/>
      <c r="I425" s="524"/>
      <c r="J425" s="524"/>
      <c r="K425" s="525"/>
      <c r="L425" s="524"/>
      <c r="M425" s="524"/>
      <c r="N425" s="524"/>
      <c r="O425" s="513"/>
      <c r="P425" s="302"/>
      <c r="Q425" s="302"/>
    </row>
    <row r="426" spans="1:17" ht="18" customHeight="1" x14ac:dyDescent="0.2">
      <c r="A426" s="598"/>
      <c r="B426" s="333" t="s">
        <v>270</v>
      </c>
      <c r="C426" s="395" t="s">
        <v>275</v>
      </c>
      <c r="D426" s="395" t="s">
        <v>310</v>
      </c>
      <c r="E426" s="395" t="s">
        <v>311</v>
      </c>
      <c r="F426" s="395" t="s">
        <v>322</v>
      </c>
      <c r="G426" s="395" t="s">
        <v>276</v>
      </c>
      <c r="H426" s="515"/>
      <c r="I426" s="395" t="s">
        <v>310</v>
      </c>
      <c r="J426" s="395" t="s">
        <v>311</v>
      </c>
      <c r="K426" s="395" t="s">
        <v>322</v>
      </c>
      <c r="L426" s="514"/>
      <c r="M426" s="395" t="str">
        <f>"☐ Fond Bleu " &amp; IF(CAM_IndexScanner=1,"STD",IF(CAM_IndexScanner=2,"LA","LC"))</f>
        <v>☐ Fond Bleu STD</v>
      </c>
      <c r="N426" s="395"/>
      <c r="O426" s="513"/>
      <c r="P426" s="302"/>
      <c r="Q426" s="302"/>
    </row>
    <row r="427" spans="1:17" ht="18" customHeight="1" x14ac:dyDescent="0.2">
      <c r="A427" s="598"/>
      <c r="B427" s="333" t="s">
        <v>271</v>
      </c>
      <c r="C427" s="395" t="s">
        <v>275</v>
      </c>
      <c r="D427" s="395" t="s">
        <v>310</v>
      </c>
      <c r="E427" s="395" t="s">
        <v>311</v>
      </c>
      <c r="F427" s="395" t="s">
        <v>322</v>
      </c>
      <c r="G427" s="395" t="s">
        <v>276</v>
      </c>
      <c r="H427" s="515"/>
      <c r="I427" s="395" t="s">
        <v>310</v>
      </c>
      <c r="J427" s="395" t="s">
        <v>311</v>
      </c>
      <c r="K427" s="395" t="s">
        <v>322</v>
      </c>
      <c r="L427" s="514"/>
      <c r="M427" s="395" t="str">
        <f>"☐ Fond Bleu " &amp; IF(CAM_IndexScanner=1,"STD",IF(CAM_IndexScanner=2,"LA","LC"))</f>
        <v>☐ Fond Bleu STD</v>
      </c>
      <c r="N427" s="395"/>
      <c r="O427" s="513"/>
      <c r="P427" s="302"/>
      <c r="Q427" s="302"/>
    </row>
    <row r="428" spans="1:17" ht="18" customHeight="1" x14ac:dyDescent="0.2">
      <c r="A428" s="598"/>
      <c r="B428" s="333" t="s">
        <v>272</v>
      </c>
      <c r="C428" s="395" t="s">
        <v>275</v>
      </c>
      <c r="D428" s="395" t="s">
        <v>310</v>
      </c>
      <c r="E428" s="395" t="s">
        <v>311</v>
      </c>
      <c r="F428" s="395" t="s">
        <v>322</v>
      </c>
      <c r="G428" s="395" t="s">
        <v>276</v>
      </c>
      <c r="H428" s="515"/>
      <c r="I428" s="395" t="s">
        <v>310</v>
      </c>
      <c r="J428" s="395" t="s">
        <v>311</v>
      </c>
      <c r="K428" s="395" t="s">
        <v>322</v>
      </c>
      <c r="L428" s="514"/>
      <c r="M428" s="395" t="str">
        <f>"☐ Fond Bleu " &amp; IF(CAM_IndexScanner=1,"STD",IF(CAM_IndexScanner=2,"LA","LC"))</f>
        <v>☐ Fond Bleu STD</v>
      </c>
      <c r="N428" s="395"/>
      <c r="O428" s="513"/>
      <c r="P428" s="302"/>
      <c r="Q428" s="302"/>
    </row>
    <row r="429" spans="1:17" ht="18" customHeight="1" x14ac:dyDescent="0.2">
      <c r="A429" s="598"/>
      <c r="B429" s="333" t="s">
        <v>273</v>
      </c>
      <c r="C429" s="395" t="s">
        <v>275</v>
      </c>
      <c r="D429" s="395" t="s">
        <v>310</v>
      </c>
      <c r="E429" s="395" t="s">
        <v>311</v>
      </c>
      <c r="F429" s="395" t="s">
        <v>322</v>
      </c>
      <c r="G429" s="395" t="s">
        <v>276</v>
      </c>
      <c r="H429" s="515"/>
      <c r="I429" s="395" t="s">
        <v>310</v>
      </c>
      <c r="J429" s="395" t="s">
        <v>311</v>
      </c>
      <c r="K429" s="395" t="s">
        <v>322</v>
      </c>
      <c r="L429" s="514"/>
      <c r="M429" s="395" t="str">
        <f>"☐ Fond Bleu " &amp; IF(CAM_IndexScanner=1,"STD",IF(CAM_IndexScanner=2,"LA","LC"))</f>
        <v>☐ Fond Bleu STD</v>
      </c>
      <c r="N429" s="395"/>
      <c r="O429" s="513"/>
      <c r="P429" s="302"/>
      <c r="Q429" s="302"/>
    </row>
    <row r="430" spans="1:17" ht="18" customHeight="1" x14ac:dyDescent="0.2">
      <c r="A430" s="598"/>
      <c r="B430" s="333" t="s">
        <v>274</v>
      </c>
      <c r="C430" s="395" t="s">
        <v>275</v>
      </c>
      <c r="D430" s="395" t="s">
        <v>310</v>
      </c>
      <c r="E430" s="395" t="s">
        <v>311</v>
      </c>
      <c r="F430" s="395" t="s">
        <v>322</v>
      </c>
      <c r="G430" s="395" t="s">
        <v>276</v>
      </c>
      <c r="H430" s="515"/>
      <c r="I430" s="395" t="s">
        <v>310</v>
      </c>
      <c r="J430" s="395" t="s">
        <v>311</v>
      </c>
      <c r="K430" s="395" t="s">
        <v>322</v>
      </c>
      <c r="L430" s="514"/>
      <c r="M430" s="395" t="str">
        <f>"☐ Fond Bleu " &amp; IF(CAM_IndexScanner=1,"STD",IF(CAM_IndexScanner=2,"LA","LC"))</f>
        <v>☐ Fond Bleu STD</v>
      </c>
      <c r="N430" s="395"/>
      <c r="O430" s="513"/>
      <c r="P430" s="302"/>
      <c r="Q430" s="302"/>
    </row>
    <row r="431" spans="1:17" ht="18" customHeight="1" thickBot="1" x14ac:dyDescent="0.25">
      <c r="A431" s="303"/>
      <c r="B431" s="310"/>
      <c r="C431" s="312"/>
      <c r="D431" s="310"/>
      <c r="E431" s="310"/>
      <c r="F431" s="310"/>
      <c r="G431" s="310"/>
      <c r="H431" s="310"/>
      <c r="I431" s="310"/>
      <c r="J431" s="310"/>
      <c r="K431" s="310"/>
      <c r="L431" s="310"/>
      <c r="M431" s="310"/>
      <c r="N431" s="302"/>
      <c r="O431" s="302"/>
      <c r="P431" s="302"/>
      <c r="Q431" s="302"/>
    </row>
    <row r="432" spans="1:17" ht="4.5" customHeight="1" thickTop="1" x14ac:dyDescent="0.25">
      <c r="A432" s="303"/>
      <c r="B432" s="444"/>
      <c r="C432" s="373"/>
      <c r="D432" s="444"/>
      <c r="E432" s="373"/>
      <c r="F432" s="444"/>
      <c r="G432" s="372"/>
      <c r="H432" s="374"/>
      <c r="I432" s="373"/>
      <c r="J432" s="373"/>
      <c r="K432" s="374"/>
      <c r="L432" s="373"/>
      <c r="M432" s="373"/>
      <c r="N432" s="302"/>
      <c r="O432" s="302"/>
      <c r="P432" s="302"/>
      <c r="Q432" s="302"/>
    </row>
    <row r="433" spans="1:17" ht="18" customHeight="1" x14ac:dyDescent="0.2">
      <c r="A433" s="303"/>
      <c r="B433" s="302"/>
      <c r="C433" s="302"/>
      <c r="D433" s="302"/>
      <c r="E433" s="513"/>
      <c r="F433" s="513"/>
      <c r="G433" s="513"/>
      <c r="H433" s="532"/>
      <c r="I433" s="353"/>
      <c r="J433" s="513"/>
      <c r="K433" s="533"/>
      <c r="L433" s="353"/>
      <c r="M433" s="513"/>
      <c r="N433" s="513"/>
      <c r="O433" s="302"/>
      <c r="P433" s="302"/>
      <c r="Q433" s="302"/>
    </row>
    <row r="434" spans="1:17" ht="24" customHeight="1" x14ac:dyDescent="0.2">
      <c r="A434" s="303"/>
      <c r="B434" s="302"/>
      <c r="C434" s="333" t="s">
        <v>156</v>
      </c>
      <c r="D434" s="395" t="str">
        <f>IF(SCANOPY_N_System&gt;1,"☐ Sticker “UN3481” sur boîte","")</f>
        <v/>
      </c>
      <c r="E434" s="353"/>
      <c r="F434" s="395" t="s">
        <v>312</v>
      </c>
      <c r="G434" s="353"/>
      <c r="H434" s="395"/>
      <c r="I434" s="353" t="str">
        <f>IF(AND(DENDRO_N_System-1 &gt; 0, NOT(DENDRO_ClientWithOrWithoutScanner_ChkBox)),"☐ " &amp; IF(DENDRO_IndexScanner=1,"Label ""STD4800 Scanner""","Label ""LA2400 Scanner"""),"") &amp;
IF(AND(FOLIA_N_System-1 &gt; 0, NOT(FOLIA_ClientWithOrWithoutScanner_ChkBox))," ☐ " &amp; IF(FOLIA_IndexScanner=1,"Label ""STD4800 Scanner""","Label ""LA2400 Scanner"""),"") &amp;
IF(AND(CAM_N_System-1 &gt; 0, NOT(CAM_ClientWithOrWithoutScanner_ChkBox))," ☐ " &amp; IF(CAM_IndexScanner=1,"Label ""STD4800 Scanner""","Label ""LA2400 Scanner"""),"")</f>
        <v/>
      </c>
      <c r="J434" s="353"/>
      <c r="K434" s="513"/>
      <c r="L434" s="513"/>
      <c r="M434" s="353"/>
      <c r="N434" s="353"/>
      <c r="O434" s="302"/>
      <c r="P434" s="302"/>
      <c r="Q434" s="302"/>
    </row>
    <row r="435" spans="1:17" ht="24" customHeight="1" x14ac:dyDescent="0.2">
      <c r="A435" s="303"/>
      <c r="B435" s="302"/>
      <c r="C435" s="303"/>
      <c r="D435" s="332" t="s">
        <v>157</v>
      </c>
      <c r="E435" s="395" t="s">
        <v>313</v>
      </c>
      <c r="F435" s="353"/>
      <c r="G435" s="395"/>
      <c r="H435" s="353"/>
      <c r="I435" s="353"/>
      <c r="J435" s="513"/>
      <c r="K435" s="513"/>
      <c r="L435" s="353"/>
      <c r="M435" s="353"/>
      <c r="N435" s="302"/>
      <c r="O435" s="302"/>
      <c r="P435" s="302"/>
      <c r="Q435" s="302"/>
    </row>
    <row r="436" spans="1:17" ht="16.25" customHeight="1" x14ac:dyDescent="0.2">
      <c r="A436" s="303"/>
      <c r="B436" s="302"/>
      <c r="C436" s="303"/>
      <c r="D436" s="317" t="s">
        <v>146</v>
      </c>
      <c r="E436" s="844"/>
      <c r="F436" s="845"/>
      <c r="G436" s="845"/>
      <c r="H436" s="845"/>
      <c r="I436" s="846"/>
      <c r="J436" s="303"/>
      <c r="K436" s="41"/>
      <c r="L436" s="303"/>
      <c r="M436" s="303"/>
      <c r="N436" s="302"/>
      <c r="O436" s="302"/>
      <c r="P436" s="302"/>
      <c r="Q436" s="302"/>
    </row>
    <row r="437" spans="1:17" ht="16.25" customHeight="1" x14ac:dyDescent="0.2">
      <c r="A437" s="303"/>
      <c r="B437" s="302"/>
      <c r="C437" s="302"/>
      <c r="D437" s="302"/>
      <c r="E437" s="303"/>
      <c r="F437" s="303"/>
      <c r="G437" s="303"/>
      <c r="H437" s="41"/>
      <c r="I437" s="302"/>
      <c r="J437" s="302"/>
      <c r="K437" s="41"/>
      <c r="L437" s="303"/>
      <c r="M437" s="303"/>
      <c r="N437" s="302"/>
      <c r="O437" s="302"/>
      <c r="P437" s="302"/>
      <c r="Q437" s="302"/>
    </row>
    <row r="438" spans="1:17" ht="16.25" customHeight="1" x14ac:dyDescent="0.2">
      <c r="A438" s="303"/>
      <c r="B438" s="302"/>
      <c r="C438" s="303"/>
      <c r="D438" s="303"/>
      <c r="E438" s="303"/>
      <c r="F438" s="303"/>
      <c r="G438" s="303"/>
      <c r="H438" s="41"/>
      <c r="I438" s="303"/>
      <c r="J438" s="303"/>
      <c r="K438" s="41"/>
      <c r="L438" s="303"/>
      <c r="M438" s="303"/>
      <c r="N438" s="302"/>
      <c r="O438" s="302"/>
      <c r="P438" s="302"/>
      <c r="Q438" s="302"/>
    </row>
    <row r="439" spans="1:17" ht="16.25" customHeight="1" x14ac:dyDescent="0.2">
      <c r="A439" s="303"/>
      <c r="B439" s="302"/>
      <c r="C439" s="303"/>
      <c r="D439" s="303"/>
      <c r="E439" s="303"/>
      <c r="F439" s="303"/>
      <c r="G439" s="303"/>
      <c r="H439" s="41"/>
      <c r="I439" s="303"/>
      <c r="J439" s="303"/>
      <c r="K439" s="41"/>
      <c r="L439" s="303"/>
      <c r="M439" s="303"/>
      <c r="N439" s="302"/>
      <c r="O439" s="302"/>
      <c r="P439" s="302"/>
      <c r="Q439" s="302"/>
    </row>
    <row r="440" spans="1:17" ht="16.25" customHeight="1" x14ac:dyDescent="0.2">
      <c r="A440" s="303"/>
      <c r="B440" s="310"/>
      <c r="C440" s="303"/>
      <c r="D440" s="303"/>
      <c r="E440" s="303"/>
      <c r="F440" s="303"/>
      <c r="G440" s="303"/>
      <c r="H440" s="41"/>
      <c r="I440" s="316"/>
      <c r="J440" s="316"/>
      <c r="K440" s="41"/>
      <c r="L440" s="316"/>
      <c r="M440" s="316"/>
      <c r="N440" s="302"/>
      <c r="O440" s="302"/>
      <c r="P440" s="302"/>
      <c r="Q440" s="302"/>
    </row>
    <row r="441" spans="1:17" ht="16.25" customHeight="1" x14ac:dyDescent="0.2">
      <c r="A441" s="303"/>
      <c r="B441" s="302"/>
      <c r="C441" s="303"/>
      <c r="D441" s="303"/>
      <c r="E441" s="303"/>
      <c r="F441" s="303"/>
      <c r="G441" s="303"/>
      <c r="H441" s="41"/>
      <c r="I441" s="303"/>
      <c r="J441" s="303"/>
      <c r="K441" s="41"/>
      <c r="L441" s="303"/>
      <c r="M441" s="303"/>
      <c r="N441" s="302"/>
      <c r="O441" s="302"/>
      <c r="P441" s="302"/>
      <c r="Q441" s="302"/>
    </row>
    <row r="442" spans="1:17" ht="16.25" customHeight="1" x14ac:dyDescent="0.2">
      <c r="A442" s="303"/>
      <c r="B442" s="302"/>
      <c r="C442" s="303"/>
      <c r="D442" s="303"/>
      <c r="E442" s="303"/>
      <c r="F442" s="303"/>
      <c r="G442" s="303"/>
      <c r="H442" s="41"/>
      <c r="I442" s="303"/>
      <c r="J442" s="303"/>
      <c r="K442" s="41"/>
      <c r="L442" s="303"/>
      <c r="M442" s="303"/>
      <c r="N442" s="302"/>
      <c r="O442" s="302"/>
      <c r="P442" s="302"/>
      <c r="Q442" s="302"/>
    </row>
    <row r="443" spans="1:17" ht="16.25" customHeight="1" x14ac:dyDescent="0.2">
      <c r="A443" s="303"/>
      <c r="B443" s="302"/>
      <c r="C443" s="303"/>
      <c r="D443" s="303"/>
      <c r="E443" s="303"/>
      <c r="F443" s="303"/>
      <c r="G443" s="303"/>
      <c r="H443" s="41"/>
      <c r="I443" s="303"/>
      <c r="J443" s="303"/>
      <c r="K443" s="41"/>
      <c r="L443" s="303"/>
      <c r="M443" s="303"/>
      <c r="N443" s="302"/>
      <c r="O443" s="302"/>
      <c r="P443" s="302"/>
      <c r="Q443" s="302"/>
    </row>
    <row r="444" spans="1:17" ht="16.25" customHeight="1" x14ac:dyDescent="0.2">
      <c r="A444" s="303"/>
      <c r="B444" s="302"/>
      <c r="C444" s="303"/>
      <c r="D444" s="303"/>
      <c r="E444" s="303"/>
      <c r="F444" s="303"/>
      <c r="G444" s="303"/>
      <c r="H444" s="41"/>
      <c r="I444" s="303"/>
      <c r="J444" s="303"/>
      <c r="K444" s="41"/>
      <c r="L444" s="303"/>
      <c r="M444" s="303"/>
      <c r="N444" s="302"/>
      <c r="O444" s="302"/>
      <c r="P444" s="302"/>
      <c r="Q444" s="302"/>
    </row>
  </sheetData>
  <sheetProtection algorithmName="SHA-512" hashValue="CaQxfAlnXolZ6oLehONjXpEP3hfHCptmiuafGqM1v2qXT7veNr1xmpc6BxTBcYVp2eRmVQEKPDcsDgk0ujrkFA==" saltValue="vJxECAMeAJVubdcg3W+wUA==" spinCount="100000" sheet="1" objects="1" scenarios="1" selectLockedCells="1"/>
  <dataConsolidate link="1"/>
  <mergeCells count="133">
    <mergeCell ref="A412:A414"/>
    <mergeCell ref="A422:A424"/>
    <mergeCell ref="C165:D165"/>
    <mergeCell ref="C162:D162"/>
    <mergeCell ref="C159:D159"/>
    <mergeCell ref="C129:D129"/>
    <mergeCell ref="J6:K6"/>
    <mergeCell ref="E436:I436"/>
    <mergeCell ref="C9:D9"/>
    <mergeCell ref="C15:D15"/>
    <mergeCell ref="C12:D12"/>
    <mergeCell ref="C93:D93"/>
    <mergeCell ref="C90:D90"/>
    <mergeCell ref="C87:D87"/>
    <mergeCell ref="C84:D84"/>
    <mergeCell ref="C81:D81"/>
    <mergeCell ref="D6:F6"/>
    <mergeCell ref="D7:F7"/>
    <mergeCell ref="C78:D78"/>
    <mergeCell ref="C246:D246"/>
    <mergeCell ref="C243:D243"/>
    <mergeCell ref="C240:D240"/>
    <mergeCell ref="C237:D237"/>
    <mergeCell ref="C126:D126"/>
    <mergeCell ref="C99:D99"/>
    <mergeCell ref="C102:D102"/>
    <mergeCell ref="C105:D105"/>
    <mergeCell ref="C108:D108"/>
    <mergeCell ref="C111:D111"/>
    <mergeCell ref="C114:D114"/>
    <mergeCell ref="C117:D117"/>
    <mergeCell ref="C120:D120"/>
    <mergeCell ref="C123:D123"/>
    <mergeCell ref="A271:A273"/>
    <mergeCell ref="A303:A304"/>
    <mergeCell ref="A358:A359"/>
    <mergeCell ref="A263:A265"/>
    <mergeCell ref="A251:A253"/>
    <mergeCell ref="A267:A269"/>
    <mergeCell ref="A275:A276"/>
    <mergeCell ref="A278:A280"/>
    <mergeCell ref="A282:A283"/>
    <mergeCell ref="A285:A287"/>
    <mergeCell ref="A289:A290"/>
    <mergeCell ref="A292:A294"/>
    <mergeCell ref="A296:A297"/>
    <mergeCell ref="A299:A301"/>
    <mergeCell ref="A306:A308"/>
    <mergeCell ref="A310:A312"/>
    <mergeCell ref="A314:A316"/>
    <mergeCell ref="A318:A320"/>
    <mergeCell ref="A322:A324"/>
    <mergeCell ref="A330:A331"/>
    <mergeCell ref="A333:A335"/>
    <mergeCell ref="A337:A338"/>
    <mergeCell ref="A340:A342"/>
    <mergeCell ref="A344:A345"/>
    <mergeCell ref="C234:D234"/>
    <mergeCell ref="C231:D231"/>
    <mergeCell ref="C228:D228"/>
    <mergeCell ref="C225:D225"/>
    <mergeCell ref="C222:D222"/>
    <mergeCell ref="C177:D177"/>
    <mergeCell ref="C174:D174"/>
    <mergeCell ref="C171:D171"/>
    <mergeCell ref="C168:D168"/>
    <mergeCell ref="C219:D219"/>
    <mergeCell ref="C216:D216"/>
    <mergeCell ref="C213:D213"/>
    <mergeCell ref="C210:D210"/>
    <mergeCell ref="C207:D207"/>
    <mergeCell ref="C204:D204"/>
    <mergeCell ref="C201:D201"/>
    <mergeCell ref="C198:D198"/>
    <mergeCell ref="C195:D195"/>
    <mergeCell ref="C192:D192"/>
    <mergeCell ref="C189:D189"/>
    <mergeCell ref="C186:D186"/>
    <mergeCell ref="C183:D183"/>
    <mergeCell ref="C180:D180"/>
    <mergeCell ref="C18:D18"/>
    <mergeCell ref="C48:D48"/>
    <mergeCell ref="C45:D45"/>
    <mergeCell ref="C42:D42"/>
    <mergeCell ref="C39:D39"/>
    <mergeCell ref="J7:K7"/>
    <mergeCell ref="C36:D36"/>
    <mergeCell ref="C33:D33"/>
    <mergeCell ref="C30:D30"/>
    <mergeCell ref="C27:D27"/>
    <mergeCell ref="C24:D24"/>
    <mergeCell ref="G3:H3"/>
    <mergeCell ref="J3:K3"/>
    <mergeCell ref="A255:A257"/>
    <mergeCell ref="A259:A261"/>
    <mergeCell ref="C96:D96"/>
    <mergeCell ref="C156:D156"/>
    <mergeCell ref="C153:D153"/>
    <mergeCell ref="C150:D150"/>
    <mergeCell ref="C147:D147"/>
    <mergeCell ref="C144:D144"/>
    <mergeCell ref="C141:D141"/>
    <mergeCell ref="C138:D138"/>
    <mergeCell ref="C135:D135"/>
    <mergeCell ref="C132:D132"/>
    <mergeCell ref="C75:D75"/>
    <mergeCell ref="C72:D72"/>
    <mergeCell ref="C69:D69"/>
    <mergeCell ref="C66:D66"/>
    <mergeCell ref="C63:D63"/>
    <mergeCell ref="C60:D60"/>
    <mergeCell ref="C57:D57"/>
    <mergeCell ref="C54:D54"/>
    <mergeCell ref="C51:D51"/>
    <mergeCell ref="C21:D21"/>
    <mergeCell ref="A347:A349"/>
    <mergeCell ref="A351:A352"/>
    <mergeCell ref="A354:A356"/>
    <mergeCell ref="A326:A328"/>
    <mergeCell ref="A397:A399"/>
    <mergeCell ref="A404:A405"/>
    <mergeCell ref="A406:A407"/>
    <mergeCell ref="A408:A409"/>
    <mergeCell ref="A361:A363"/>
    <mergeCell ref="A365:A367"/>
    <mergeCell ref="A369:A371"/>
    <mergeCell ref="A373:A375"/>
    <mergeCell ref="A377:A379"/>
    <mergeCell ref="A381:A383"/>
    <mergeCell ref="A385:A387"/>
    <mergeCell ref="A389:A391"/>
    <mergeCell ref="A393:A395"/>
    <mergeCell ref="A402:A403"/>
  </mergeCells>
  <phoneticPr fontId="24" type="noConversion"/>
  <conditionalFormatting sqref="E381 E385 E389 E393 E397">
    <cfRule type="expression" dxfId="9" priority="3">
      <formula>IF(SCANOPY_Camera=FALSE(),1,0)</formula>
    </cfRule>
  </conditionalFormatting>
  <conditionalFormatting sqref="J306 J310 J314 J318 J322">
    <cfRule type="expression" dxfId="8" priority="2">
      <formula>IF(FOLIA_IndexScanner=3,1,0)</formula>
    </cfRule>
  </conditionalFormatting>
  <conditionalFormatting sqref="J361 J365 J369 J373 J377">
    <cfRule type="expression" dxfId="7" priority="1">
      <formula>IF(CAM_IndexScanner=3,1,0)</formula>
    </cfRule>
  </conditionalFormatting>
  <pageMargins left="0.25" right="0" top="0.5" bottom="0.5" header="0.3" footer="0.3"/>
  <pageSetup scale="1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5247" r:id="rId4" name="BtnProdReset">
              <controlPr defaultSize="0" print="0" autoFill="0" autoPict="0" macro="[0]!ClearProdSheet">
                <anchor moveWithCells="1" sizeWithCells="1">
                  <from>
                    <xdr:col>3</xdr:col>
                    <xdr:colOff>139700</xdr:colOff>
                    <xdr:row>2</xdr:row>
                    <xdr:rowOff>190500</xdr:rowOff>
                  </from>
                  <to>
                    <xdr:col>4</xdr:col>
                    <xdr:colOff>25400</xdr:colOff>
                    <xdr:row>3</xdr:row>
                    <xdr:rowOff>190500</xdr:rowOff>
                  </to>
                </anchor>
              </controlPr>
            </control>
          </mc:Choice>
        </mc:AlternateContent>
        <mc:AlternateContent xmlns:mc="http://schemas.openxmlformats.org/markup-compatibility/2006">
          <mc:Choice Requires="x14">
            <control shapeId="115248" r:id="rId5" name="BtnProdProd">
              <controlPr defaultSize="0" print="0" autoFill="0" autoPict="0" macro="[0]!DebutProd">
                <anchor moveWithCells="1" sizeWithCells="1">
                  <from>
                    <xdr:col>4</xdr:col>
                    <xdr:colOff>177800</xdr:colOff>
                    <xdr:row>2</xdr:row>
                    <xdr:rowOff>190500</xdr:rowOff>
                  </from>
                  <to>
                    <xdr:col>5</xdr:col>
                    <xdr:colOff>0</xdr:colOff>
                    <xdr:row>3</xdr:row>
                    <xdr:rowOff>190500</xdr:rowOff>
                  </to>
                </anchor>
              </controlPr>
            </control>
          </mc:Choice>
        </mc:AlternateContent>
        <mc:AlternateContent xmlns:mc="http://schemas.openxmlformats.org/markup-compatibility/2006">
          <mc:Choice Requires="x14">
            <control shapeId="142927" r:id="rId6" name="Option Button 7">
              <controlPr defaultSize="0" autoFill="0" autoLine="0" autoPict="0">
                <anchor moveWithCells="1">
                  <from>
                    <xdr:col>12</xdr:col>
                    <xdr:colOff>177800</xdr:colOff>
                    <xdr:row>5</xdr:row>
                    <xdr:rowOff>25400</xdr:rowOff>
                  </from>
                  <to>
                    <xdr:col>12</xdr:col>
                    <xdr:colOff>609600</xdr:colOff>
                    <xdr:row>5</xdr:row>
                    <xdr:rowOff>177800</xdr:rowOff>
                  </to>
                </anchor>
              </controlPr>
            </control>
          </mc:Choice>
        </mc:AlternateContent>
        <mc:AlternateContent xmlns:mc="http://schemas.openxmlformats.org/markup-compatibility/2006">
          <mc:Choice Requires="x14">
            <control shapeId="142928" r:id="rId7" name="Option Button 8">
              <controlPr defaultSize="0" autoFill="0" autoLine="0" autoPict="0">
                <anchor moveWithCells="1">
                  <from>
                    <xdr:col>12</xdr:col>
                    <xdr:colOff>635000</xdr:colOff>
                    <xdr:row>5</xdr:row>
                    <xdr:rowOff>25400</xdr:rowOff>
                  </from>
                  <to>
                    <xdr:col>13</xdr:col>
                    <xdr:colOff>292100</xdr:colOff>
                    <xdr:row>5</xdr:row>
                    <xdr:rowOff>177800</xdr:rowOff>
                  </to>
                </anchor>
              </controlPr>
            </control>
          </mc:Choice>
        </mc:AlternateContent>
        <mc:AlternateContent xmlns:mc="http://schemas.openxmlformats.org/markup-compatibility/2006">
          <mc:Choice Requires="x14">
            <control shapeId="143232" r:id="rId8" name="SHOWPROD">
              <controlPr defaultSize="0" print="0" autoFill="0" autoPict="0" macro="[0]!ShowProdSheet">
                <anchor moveWithCells="1" sizeWithCells="1">
                  <from>
                    <xdr:col>48</xdr:col>
                    <xdr:colOff>76200</xdr:colOff>
                    <xdr:row>1</xdr:row>
                    <xdr:rowOff>88900</xdr:rowOff>
                  </from>
                  <to>
                    <xdr:col>50</xdr:col>
                    <xdr:colOff>12700</xdr:colOff>
                    <xdr:row>3</xdr:row>
                    <xdr:rowOff>152400</xdr:rowOff>
                  </to>
                </anchor>
              </controlPr>
            </control>
          </mc:Choice>
        </mc:AlternateContent>
        <mc:AlternateContent xmlns:mc="http://schemas.openxmlformats.org/markup-compatibility/2006">
          <mc:Choice Requires="x14">
            <control shapeId="143233" r:id="rId9" name="GroupBoxColisAssurer">
              <controlPr defaultSize="0" print="0" autoFill="0" autoPict="0">
                <anchor moveWithCells="1" sizeWithCells="1">
                  <from>
                    <xdr:col>12</xdr:col>
                    <xdr:colOff>25400</xdr:colOff>
                    <xdr:row>5</xdr:row>
                    <xdr:rowOff>25400</xdr:rowOff>
                  </from>
                  <to>
                    <xdr:col>13</xdr:col>
                    <xdr:colOff>698500</xdr:colOff>
                    <xdr:row>6</xdr:row>
                    <xdr:rowOff>25400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1" tint="0.34998626667073579"/>
    <pageSetUpPr fitToPage="1"/>
  </sheetPr>
  <dimension ref="A1:O64"/>
  <sheetViews>
    <sheetView zoomScale="150" zoomScaleNormal="150" workbookViewId="0"/>
  </sheetViews>
  <sheetFormatPr baseColWidth="10" defaultColWidth="8.6640625" defaultRowHeight="16" x14ac:dyDescent="0.2"/>
  <cols>
    <col min="1" max="2" width="4" customWidth="1"/>
    <col min="3" max="3" width="3.6640625" customWidth="1"/>
    <col min="7" max="7" width="3.6640625" customWidth="1"/>
    <col min="8" max="8" width="11.6640625" customWidth="1"/>
    <col min="9" max="10" width="4" customWidth="1"/>
    <col min="11" max="11" width="3.6640625" customWidth="1"/>
    <col min="13" max="14" width="8.6640625" customWidth="1"/>
    <col min="15" max="15" width="0.6640625" customWidth="1"/>
  </cols>
  <sheetData>
    <row r="1" spans="1:15" ht="34.25" customHeight="1" x14ac:dyDescent="0.2">
      <c r="A1" s="291"/>
      <c r="B1" s="291"/>
      <c r="C1" s="291"/>
      <c r="D1" s="291"/>
      <c r="E1" s="291"/>
      <c r="F1" s="291"/>
      <c r="G1" s="291"/>
      <c r="H1" s="291"/>
      <c r="I1" s="291"/>
      <c r="J1" s="291"/>
      <c r="K1" s="291"/>
      <c r="L1" s="291"/>
      <c r="M1" s="291"/>
      <c r="N1" s="291"/>
      <c r="O1" s="291"/>
    </row>
    <row r="2" spans="1:15" x14ac:dyDescent="0.2">
      <c r="A2" s="296" t="s">
        <v>139</v>
      </c>
      <c r="B2" s="296"/>
      <c r="C2" s="296"/>
      <c r="D2" s="296"/>
      <c r="E2" s="296"/>
      <c r="F2" s="296"/>
      <c r="G2" s="291"/>
      <c r="H2" s="291"/>
      <c r="I2" s="296" t="s">
        <v>139</v>
      </c>
      <c r="J2" s="296"/>
      <c r="K2" s="296"/>
      <c r="L2" s="296"/>
      <c r="M2" s="296"/>
      <c r="N2" s="296"/>
      <c r="O2" s="291"/>
    </row>
    <row r="3" spans="1:15" s="62" customFormat="1" ht="12" customHeight="1" x14ac:dyDescent="0.2">
      <c r="A3" s="852" t="s">
        <v>141</v>
      </c>
      <c r="B3" s="852"/>
      <c r="C3" s="852"/>
      <c r="D3" s="852"/>
      <c r="E3" s="852"/>
      <c r="F3" s="852"/>
      <c r="G3" s="291"/>
      <c r="H3" s="291"/>
      <c r="I3" s="852" t="s">
        <v>141</v>
      </c>
      <c r="J3" s="852"/>
      <c r="K3" s="852"/>
      <c r="L3" s="852"/>
      <c r="M3" s="852"/>
      <c r="N3" s="852"/>
      <c r="O3" s="297"/>
    </row>
    <row r="4" spans="1:15" s="62" customFormat="1" ht="12" customHeight="1" x14ac:dyDescent="0.2">
      <c r="A4" s="852" t="s">
        <v>219</v>
      </c>
      <c r="B4" s="852"/>
      <c r="C4" s="852"/>
      <c r="D4" s="852"/>
      <c r="E4" s="852"/>
      <c r="F4" s="852"/>
      <c r="G4" s="291"/>
      <c r="H4" s="291"/>
      <c r="I4" s="852" t="s">
        <v>219</v>
      </c>
      <c r="J4" s="852"/>
      <c r="K4" s="852"/>
      <c r="L4" s="852"/>
      <c r="M4" s="852"/>
      <c r="N4" s="852"/>
      <c r="O4" s="297"/>
    </row>
    <row r="5" spans="1:15" x14ac:dyDescent="0.2">
      <c r="A5" s="293"/>
      <c r="B5" s="294"/>
      <c r="C5" s="293"/>
      <c r="D5" s="293"/>
      <c r="E5" s="293"/>
      <c r="F5" s="293"/>
      <c r="G5" s="291"/>
      <c r="H5" s="291"/>
      <c r="I5" s="293"/>
      <c r="J5" s="294"/>
      <c r="K5" s="293"/>
      <c r="L5" s="293"/>
      <c r="M5" s="293"/>
      <c r="N5" s="293"/>
      <c r="O5" s="291"/>
    </row>
    <row r="6" spans="1:15" x14ac:dyDescent="0.2">
      <c r="A6" s="296" t="s">
        <v>140</v>
      </c>
      <c r="B6" s="296"/>
      <c r="C6" s="296"/>
      <c r="D6" s="296"/>
      <c r="E6" s="296"/>
      <c r="F6" s="296"/>
      <c r="G6" s="291"/>
      <c r="H6" s="291"/>
      <c r="I6" s="296" t="s">
        <v>140</v>
      </c>
      <c r="J6" s="296"/>
      <c r="K6" s="296"/>
      <c r="L6" s="296"/>
      <c r="M6" s="296"/>
      <c r="N6" s="296"/>
      <c r="O6" s="291"/>
    </row>
    <row r="7" spans="1:15" s="290" customFormat="1" ht="14.75" customHeight="1" x14ac:dyDescent="0.2">
      <c r="A7" s="295"/>
      <c r="B7" s="851" t="str">
        <f>Inv!$I$12</f>
        <v/>
      </c>
      <c r="C7" s="851"/>
      <c r="D7" s="851"/>
      <c r="E7" s="851"/>
      <c r="F7" s="851"/>
      <c r="G7" s="291"/>
      <c r="H7" s="291"/>
      <c r="I7" s="295"/>
      <c r="J7" s="851" t="str">
        <f>Inv!$I$12</f>
        <v/>
      </c>
      <c r="K7" s="851"/>
      <c r="L7" s="851"/>
      <c r="M7" s="851"/>
      <c r="N7" s="851"/>
      <c r="O7" s="298"/>
    </row>
    <row r="8" spans="1:15" s="290" customFormat="1" ht="14.75" customHeight="1" x14ac:dyDescent="0.2">
      <c r="A8" s="295"/>
      <c r="B8" s="851" t="str">
        <f>Inv!$I$13</f>
        <v/>
      </c>
      <c r="C8" s="851"/>
      <c r="D8" s="851"/>
      <c r="E8" s="851"/>
      <c r="F8" s="851"/>
      <c r="G8" s="291"/>
      <c r="H8" s="291"/>
      <c r="I8" s="295"/>
      <c r="J8" s="851" t="str">
        <f>Inv!$I$13</f>
        <v/>
      </c>
      <c r="K8" s="851"/>
      <c r="L8" s="851"/>
      <c r="M8" s="851"/>
      <c r="N8" s="851"/>
      <c r="O8" s="298"/>
    </row>
    <row r="9" spans="1:15" s="290" customFormat="1" ht="14.75" customHeight="1" x14ac:dyDescent="0.2">
      <c r="A9" s="295"/>
      <c r="B9" s="851" t="str">
        <f>Inv!$I$14</f>
        <v/>
      </c>
      <c r="C9" s="851"/>
      <c r="D9" s="851"/>
      <c r="E9" s="851"/>
      <c r="F9" s="851"/>
      <c r="G9" s="291"/>
      <c r="H9" s="291"/>
      <c r="I9" s="295"/>
      <c r="J9" s="851" t="str">
        <f>Inv!$I$14</f>
        <v/>
      </c>
      <c r="K9" s="851"/>
      <c r="L9" s="851"/>
      <c r="M9" s="851"/>
      <c r="N9" s="851"/>
      <c r="O9" s="298"/>
    </row>
    <row r="10" spans="1:15" s="290" customFormat="1" ht="14.75" customHeight="1" x14ac:dyDescent="0.2">
      <c r="A10" s="295"/>
      <c r="B10" s="851" t="str">
        <f>HOME_City_Ship &amp; ", " &amp; HOME_Province_Ship &amp; " " &amp; HOME_Zip_Ship</f>
        <v xml:space="preserve">,  </v>
      </c>
      <c r="C10" s="851"/>
      <c r="D10" s="851"/>
      <c r="E10" s="851"/>
      <c r="F10" s="851"/>
      <c r="G10" s="291"/>
      <c r="H10" s="291"/>
      <c r="I10" s="295"/>
      <c r="J10" s="851" t="str">
        <f>HOME_City_Ship &amp; ", " &amp; HOME_Province_Ship &amp; " " &amp; HOME_Zip_Ship</f>
        <v xml:space="preserve">,  </v>
      </c>
      <c r="K10" s="851"/>
      <c r="L10" s="851"/>
      <c r="M10" s="851"/>
      <c r="N10" s="851"/>
      <c r="O10" s="298"/>
    </row>
    <row r="11" spans="1:15" s="290" customFormat="1" ht="14.75" customHeight="1" x14ac:dyDescent="0.2">
      <c r="A11" s="295"/>
      <c r="B11" s="851" t="str">
        <f>HOME_Country_Ship</f>
        <v/>
      </c>
      <c r="C11" s="851"/>
      <c r="D11" s="851"/>
      <c r="E11" s="851"/>
      <c r="F11" s="851"/>
      <c r="G11" s="291"/>
      <c r="H11" s="291"/>
      <c r="I11" s="295"/>
      <c r="J11" s="851" t="str">
        <f>HOME_Country_Ship</f>
        <v/>
      </c>
      <c r="K11" s="851"/>
      <c r="L11" s="851"/>
      <c r="M11" s="851"/>
      <c r="N11" s="851"/>
      <c r="O11" s="298"/>
    </row>
    <row r="12" spans="1:15" s="290" customFormat="1" ht="14.75" customHeight="1" x14ac:dyDescent="0.2">
      <c r="A12" s="295"/>
      <c r="B12" s="849" t="s">
        <v>142</v>
      </c>
      <c r="C12" s="849"/>
      <c r="D12" s="851" t="str">
        <f>RIGHT(Inv!$I$17,LEN(Inv!$I$17)-9)</f>
        <v xml:space="preserve">  </v>
      </c>
      <c r="E12" s="851"/>
      <c r="F12" s="851"/>
      <c r="G12" s="291"/>
      <c r="H12" s="291"/>
      <c r="I12" s="295"/>
      <c r="J12" s="849" t="s">
        <v>142</v>
      </c>
      <c r="K12" s="849"/>
      <c r="L12" s="851" t="str">
        <f>RIGHT(Inv!$I$17,LEN(Inv!$I$17)-9)</f>
        <v xml:space="preserve">  </v>
      </c>
      <c r="M12" s="851"/>
      <c r="N12" s="851"/>
      <c r="O12" s="298"/>
    </row>
    <row r="13" spans="1:15" x14ac:dyDescent="0.2">
      <c r="A13" s="293"/>
      <c r="B13" s="292" t="s">
        <v>143</v>
      </c>
      <c r="C13" s="848" t="str">
        <f>Inv!$J$18</f>
        <v/>
      </c>
      <c r="D13" s="848"/>
      <c r="E13" s="848"/>
      <c r="F13" s="848"/>
      <c r="G13" s="291"/>
      <c r="H13" s="291"/>
      <c r="I13" s="293"/>
      <c r="J13" s="292" t="s">
        <v>143</v>
      </c>
      <c r="K13" s="848" t="str">
        <f>Inv!$J$18</f>
        <v/>
      </c>
      <c r="L13" s="848"/>
      <c r="M13" s="848"/>
      <c r="N13" s="848"/>
      <c r="O13" s="291"/>
    </row>
    <row r="14" spans="1:15" x14ac:dyDescent="0.2">
      <c r="A14" s="293"/>
      <c r="B14" s="849" t="s">
        <v>144</v>
      </c>
      <c r="C14" s="849"/>
      <c r="D14" s="849"/>
      <c r="E14" s="731" t="str">
        <f>Inv!Q7</f>
        <v/>
      </c>
      <c r="F14" s="731"/>
      <c r="G14" s="291"/>
      <c r="H14" s="291"/>
      <c r="I14" s="293"/>
      <c r="J14" s="849" t="s">
        <v>144</v>
      </c>
      <c r="K14" s="849"/>
      <c r="L14" s="849"/>
      <c r="M14" s="731" t="str">
        <f>Inv!Q7</f>
        <v/>
      </c>
      <c r="N14" s="731"/>
      <c r="O14" s="291"/>
    </row>
    <row r="15" spans="1:15" x14ac:dyDescent="0.2">
      <c r="A15" s="293"/>
      <c r="B15" s="849" t="str">
        <f>Home!A16 &amp; ":"</f>
        <v>Tax Id or EORI #:</v>
      </c>
      <c r="C15" s="849"/>
      <c r="D15" s="849"/>
      <c r="E15" s="731" t="str">
        <f>Inv!K19</f>
        <v/>
      </c>
      <c r="F15" s="731"/>
      <c r="G15" s="291"/>
      <c r="H15" s="291"/>
      <c r="I15" s="293"/>
      <c r="J15" s="849" t="str">
        <f>B15</f>
        <v>Tax Id or EORI #:</v>
      </c>
      <c r="K15" s="849"/>
      <c r="L15" s="849"/>
      <c r="M15" s="731" t="str">
        <f>Inv!K19</f>
        <v/>
      </c>
      <c r="N15" s="731"/>
      <c r="O15" s="291"/>
    </row>
    <row r="16" spans="1:15" x14ac:dyDescent="0.2">
      <c r="A16" s="294"/>
      <c r="B16" s="849" t="s">
        <v>170</v>
      </c>
      <c r="C16" s="849"/>
      <c r="D16" s="849"/>
      <c r="E16" s="850"/>
      <c r="F16" s="850"/>
      <c r="G16" s="291"/>
      <c r="H16" s="291"/>
      <c r="I16" s="294"/>
      <c r="J16" s="849" t="s">
        <v>170</v>
      </c>
      <c r="K16" s="849"/>
      <c r="L16" s="849"/>
      <c r="M16" s="445"/>
      <c r="N16" s="445"/>
      <c r="O16" s="291"/>
    </row>
    <row r="17" spans="1:15" ht="56" customHeight="1" x14ac:dyDescent="0.2">
      <c r="A17" s="291"/>
      <c r="B17" s="291"/>
      <c r="C17" s="291"/>
      <c r="D17" s="291"/>
      <c r="E17" s="291"/>
      <c r="F17" s="291"/>
      <c r="G17" s="291"/>
      <c r="H17" s="291"/>
      <c r="I17" s="291"/>
      <c r="J17" s="291"/>
      <c r="K17" s="291"/>
      <c r="L17" s="291"/>
      <c r="M17" s="291"/>
      <c r="N17" s="291"/>
      <c r="O17" s="291"/>
    </row>
    <row r="18" spans="1:15" x14ac:dyDescent="0.2">
      <c r="A18" s="296" t="s">
        <v>139</v>
      </c>
      <c r="B18" s="296"/>
      <c r="C18" s="296"/>
      <c r="D18" s="296"/>
      <c r="E18" s="296"/>
      <c r="F18" s="296"/>
      <c r="G18" s="291"/>
      <c r="H18" s="291"/>
      <c r="I18" s="296" t="s">
        <v>139</v>
      </c>
      <c r="J18" s="296"/>
      <c r="K18" s="296"/>
      <c r="L18" s="296"/>
      <c r="M18" s="296"/>
      <c r="N18" s="296"/>
      <c r="O18" s="291"/>
    </row>
    <row r="19" spans="1:15" s="62" customFormat="1" ht="12" customHeight="1" x14ac:dyDescent="0.2">
      <c r="A19" s="852" t="s">
        <v>141</v>
      </c>
      <c r="B19" s="852"/>
      <c r="C19" s="852"/>
      <c r="D19" s="852"/>
      <c r="E19" s="852"/>
      <c r="F19" s="852"/>
      <c r="G19" s="291"/>
      <c r="H19" s="291"/>
      <c r="I19" s="852" t="s">
        <v>141</v>
      </c>
      <c r="J19" s="852"/>
      <c r="K19" s="852"/>
      <c r="L19" s="852"/>
      <c r="M19" s="852"/>
      <c r="N19" s="852"/>
      <c r="O19" s="297"/>
    </row>
    <row r="20" spans="1:15" s="62" customFormat="1" ht="12" customHeight="1" x14ac:dyDescent="0.2">
      <c r="A20" s="852" t="s">
        <v>219</v>
      </c>
      <c r="B20" s="852"/>
      <c r="C20" s="852"/>
      <c r="D20" s="852"/>
      <c r="E20" s="852"/>
      <c r="F20" s="852"/>
      <c r="G20" s="291"/>
      <c r="H20" s="291"/>
      <c r="I20" s="852" t="s">
        <v>219</v>
      </c>
      <c r="J20" s="852"/>
      <c r="K20" s="852"/>
      <c r="L20" s="852"/>
      <c r="M20" s="852"/>
      <c r="N20" s="852"/>
      <c r="O20" s="297"/>
    </row>
    <row r="21" spans="1:15" x14ac:dyDescent="0.2">
      <c r="A21" s="293"/>
      <c r="B21" s="294"/>
      <c r="C21" s="293"/>
      <c r="D21" s="293"/>
      <c r="E21" s="293"/>
      <c r="F21" s="293"/>
      <c r="G21" s="291"/>
      <c r="H21" s="291"/>
      <c r="I21" s="293"/>
      <c r="J21" s="294"/>
      <c r="K21" s="293"/>
      <c r="L21" s="293"/>
      <c r="M21" s="293"/>
      <c r="N21" s="293"/>
      <c r="O21" s="291"/>
    </row>
    <row r="22" spans="1:15" x14ac:dyDescent="0.2">
      <c r="A22" s="296" t="s">
        <v>140</v>
      </c>
      <c r="B22" s="296"/>
      <c r="C22" s="296"/>
      <c r="D22" s="296"/>
      <c r="E22" s="296"/>
      <c r="F22" s="296"/>
      <c r="G22" s="291"/>
      <c r="H22" s="291"/>
      <c r="I22" s="296" t="s">
        <v>140</v>
      </c>
      <c r="J22" s="296"/>
      <c r="K22" s="296"/>
      <c r="L22" s="296"/>
      <c r="M22" s="296"/>
      <c r="N22" s="296"/>
      <c r="O22" s="291"/>
    </row>
    <row r="23" spans="1:15" s="290" customFormat="1" ht="14.75" customHeight="1" x14ac:dyDescent="0.2">
      <c r="A23" s="295"/>
      <c r="B23" s="851" t="str">
        <f>Inv!$I$12</f>
        <v/>
      </c>
      <c r="C23" s="851"/>
      <c r="D23" s="851"/>
      <c r="E23" s="851"/>
      <c r="F23" s="851"/>
      <c r="G23" s="291"/>
      <c r="H23" s="291"/>
      <c r="I23" s="295"/>
      <c r="J23" s="851" t="str">
        <f>Inv!$I$12</f>
        <v/>
      </c>
      <c r="K23" s="851"/>
      <c r="L23" s="851"/>
      <c r="M23" s="851"/>
      <c r="N23" s="851"/>
      <c r="O23" s="298"/>
    </row>
    <row r="24" spans="1:15" s="290" customFormat="1" ht="14.75" customHeight="1" x14ac:dyDescent="0.2">
      <c r="A24" s="295"/>
      <c r="B24" s="851" t="str">
        <f>Inv!$I$13</f>
        <v/>
      </c>
      <c r="C24" s="851"/>
      <c r="D24" s="851"/>
      <c r="E24" s="851"/>
      <c r="F24" s="851"/>
      <c r="G24" s="291"/>
      <c r="H24" s="291"/>
      <c r="I24" s="295"/>
      <c r="J24" s="851" t="str">
        <f>Inv!$I$13</f>
        <v/>
      </c>
      <c r="K24" s="851"/>
      <c r="L24" s="851"/>
      <c r="M24" s="851"/>
      <c r="N24" s="851"/>
      <c r="O24" s="298"/>
    </row>
    <row r="25" spans="1:15" s="290" customFormat="1" ht="14.75" customHeight="1" x14ac:dyDescent="0.2">
      <c r="A25" s="295"/>
      <c r="B25" s="851" t="str">
        <f>Inv!$I$14</f>
        <v/>
      </c>
      <c r="C25" s="851"/>
      <c r="D25" s="851"/>
      <c r="E25" s="851"/>
      <c r="F25" s="851"/>
      <c r="G25" s="291"/>
      <c r="H25" s="291"/>
      <c r="I25" s="295"/>
      <c r="J25" s="851" t="str">
        <f>Inv!$I$14</f>
        <v/>
      </c>
      <c r="K25" s="851"/>
      <c r="L25" s="851"/>
      <c r="M25" s="851"/>
      <c r="N25" s="851"/>
      <c r="O25" s="298"/>
    </row>
    <row r="26" spans="1:15" s="290" customFormat="1" ht="14.75" customHeight="1" x14ac:dyDescent="0.2">
      <c r="A26" s="295"/>
      <c r="B26" s="851" t="str">
        <f>HOME_City_Ship &amp; ", " &amp; HOME_Province_Ship &amp; " " &amp; HOME_Zip_Ship</f>
        <v xml:space="preserve">,  </v>
      </c>
      <c r="C26" s="851"/>
      <c r="D26" s="851"/>
      <c r="E26" s="851"/>
      <c r="F26" s="851"/>
      <c r="G26" s="291"/>
      <c r="H26" s="291"/>
      <c r="I26" s="295"/>
      <c r="J26" s="851" t="str">
        <f>HOME_City_Ship &amp; ", " &amp; HOME_Province_Ship &amp; " " &amp; HOME_Zip_Ship</f>
        <v xml:space="preserve">,  </v>
      </c>
      <c r="K26" s="851"/>
      <c r="L26" s="851"/>
      <c r="M26" s="851"/>
      <c r="N26" s="851"/>
      <c r="O26" s="298"/>
    </row>
    <row r="27" spans="1:15" s="290" customFormat="1" ht="14.75" customHeight="1" x14ac:dyDescent="0.2">
      <c r="A27" s="295"/>
      <c r="B27" s="851" t="str">
        <f>HOME_Country_Ship</f>
        <v/>
      </c>
      <c r="C27" s="851"/>
      <c r="D27" s="851"/>
      <c r="E27" s="851"/>
      <c r="F27" s="851"/>
      <c r="G27" s="291"/>
      <c r="H27" s="291"/>
      <c r="I27" s="295"/>
      <c r="J27" s="851" t="str">
        <f>HOME_Country_Ship</f>
        <v/>
      </c>
      <c r="K27" s="851"/>
      <c r="L27" s="851"/>
      <c r="M27" s="851"/>
      <c r="N27" s="851"/>
      <c r="O27" s="298"/>
    </row>
    <row r="28" spans="1:15" s="290" customFormat="1" ht="14.75" customHeight="1" x14ac:dyDescent="0.2">
      <c r="A28" s="295"/>
      <c r="B28" s="849" t="s">
        <v>142</v>
      </c>
      <c r="C28" s="849"/>
      <c r="D28" s="851" t="str">
        <f>RIGHT(Inv!$I$17,LEN(Inv!$I$17)-9)</f>
        <v xml:space="preserve">  </v>
      </c>
      <c r="E28" s="851"/>
      <c r="F28" s="851"/>
      <c r="G28" s="291"/>
      <c r="H28" s="291"/>
      <c r="I28" s="295"/>
      <c r="J28" s="849" t="s">
        <v>142</v>
      </c>
      <c r="K28" s="849"/>
      <c r="L28" s="851" t="str">
        <f>RIGHT(Inv!$I$17,LEN(Inv!$I$17)-9)</f>
        <v xml:space="preserve">  </v>
      </c>
      <c r="M28" s="851"/>
      <c r="N28" s="851"/>
      <c r="O28" s="298"/>
    </row>
    <row r="29" spans="1:15" x14ac:dyDescent="0.2">
      <c r="A29" s="293"/>
      <c r="B29" s="292" t="s">
        <v>143</v>
      </c>
      <c r="C29" s="848" t="str">
        <f>Inv!$J$18</f>
        <v/>
      </c>
      <c r="D29" s="848"/>
      <c r="E29" s="848"/>
      <c r="F29" s="848"/>
      <c r="G29" s="291"/>
      <c r="H29" s="291"/>
      <c r="I29" s="293"/>
      <c r="J29" s="292" t="s">
        <v>143</v>
      </c>
      <c r="K29" s="848" t="str">
        <f>Inv!$J$18</f>
        <v/>
      </c>
      <c r="L29" s="848"/>
      <c r="M29" s="848"/>
      <c r="N29" s="848"/>
      <c r="O29" s="291"/>
    </row>
    <row r="30" spans="1:15" x14ac:dyDescent="0.2">
      <c r="A30" s="293"/>
      <c r="B30" s="849" t="s">
        <v>144</v>
      </c>
      <c r="C30" s="849"/>
      <c r="D30" s="849"/>
      <c r="E30" s="731" t="str">
        <f>Inv!Q7</f>
        <v/>
      </c>
      <c r="F30" s="731"/>
      <c r="G30" s="291"/>
      <c r="H30" s="291"/>
      <c r="I30" s="293"/>
      <c r="J30" s="849" t="s">
        <v>144</v>
      </c>
      <c r="K30" s="849"/>
      <c r="L30" s="849"/>
      <c r="M30" s="731" t="str">
        <f>Inv!Q7</f>
        <v/>
      </c>
      <c r="N30" s="731"/>
      <c r="O30" s="291"/>
    </row>
    <row r="31" spans="1:15" x14ac:dyDescent="0.2">
      <c r="A31" s="293"/>
      <c r="B31" s="849" t="str">
        <f>B15</f>
        <v>Tax Id or EORI #:</v>
      </c>
      <c r="C31" s="849"/>
      <c r="D31" s="849"/>
      <c r="E31" s="731" t="str">
        <f>Inv!K19</f>
        <v/>
      </c>
      <c r="F31" s="731"/>
      <c r="G31" s="291"/>
      <c r="H31" s="291"/>
      <c r="I31" s="293"/>
      <c r="J31" s="849" t="str">
        <f>B15</f>
        <v>Tax Id or EORI #:</v>
      </c>
      <c r="K31" s="849"/>
      <c r="L31" s="849"/>
      <c r="M31" s="731" t="str">
        <f>Inv!K19</f>
        <v/>
      </c>
      <c r="N31" s="731"/>
      <c r="O31" s="291"/>
    </row>
    <row r="32" spans="1:15" x14ac:dyDescent="0.2">
      <c r="A32" s="294"/>
      <c r="B32" s="849" t="s">
        <v>170</v>
      </c>
      <c r="C32" s="849"/>
      <c r="D32" s="849"/>
      <c r="E32" s="850"/>
      <c r="F32" s="850"/>
      <c r="G32" s="291"/>
      <c r="H32" s="291"/>
      <c r="I32" s="294"/>
      <c r="J32" s="849" t="s">
        <v>170</v>
      </c>
      <c r="K32" s="849"/>
      <c r="L32" s="849"/>
      <c r="M32" s="850"/>
      <c r="N32" s="850"/>
      <c r="O32" s="291"/>
    </row>
    <row r="33" spans="1:15" ht="75" customHeight="1" x14ac:dyDescent="0.2">
      <c r="A33" s="291"/>
      <c r="B33" s="291"/>
      <c r="C33" s="291"/>
      <c r="D33" s="291"/>
      <c r="E33" s="291"/>
      <c r="F33" s="291"/>
      <c r="G33" s="291"/>
      <c r="H33" s="291"/>
      <c r="I33" s="291"/>
      <c r="J33" s="291"/>
      <c r="K33" s="291"/>
      <c r="L33" s="291"/>
      <c r="M33" s="291"/>
      <c r="N33" s="291"/>
      <c r="O33" s="291"/>
    </row>
    <row r="34" spans="1:15" x14ac:dyDescent="0.2">
      <c r="A34" s="296" t="s">
        <v>139</v>
      </c>
      <c r="B34" s="296"/>
      <c r="C34" s="296"/>
      <c r="D34" s="296"/>
      <c r="E34" s="296"/>
      <c r="F34" s="296"/>
      <c r="G34" s="291"/>
      <c r="H34" s="291"/>
      <c r="I34" s="296" t="s">
        <v>139</v>
      </c>
      <c r="J34" s="296"/>
      <c r="K34" s="296"/>
      <c r="L34" s="296"/>
      <c r="M34" s="296"/>
      <c r="N34" s="296"/>
      <c r="O34" s="291"/>
    </row>
    <row r="35" spans="1:15" s="62" customFormat="1" ht="12" customHeight="1" x14ac:dyDescent="0.2">
      <c r="A35" s="852" t="s">
        <v>141</v>
      </c>
      <c r="B35" s="852"/>
      <c r="C35" s="852"/>
      <c r="D35" s="852"/>
      <c r="E35" s="852"/>
      <c r="F35" s="852"/>
      <c r="G35" s="291"/>
      <c r="H35" s="291"/>
      <c r="I35" s="852" t="s">
        <v>141</v>
      </c>
      <c r="J35" s="852"/>
      <c r="K35" s="852"/>
      <c r="L35" s="852"/>
      <c r="M35" s="852"/>
      <c r="N35" s="852"/>
      <c r="O35" s="297"/>
    </row>
    <row r="36" spans="1:15" s="62" customFormat="1" ht="12" customHeight="1" x14ac:dyDescent="0.2">
      <c r="A36" s="852" t="s">
        <v>219</v>
      </c>
      <c r="B36" s="852"/>
      <c r="C36" s="852"/>
      <c r="D36" s="852"/>
      <c r="E36" s="852"/>
      <c r="F36" s="852"/>
      <c r="G36" s="291"/>
      <c r="H36" s="291"/>
      <c r="I36" s="852" t="s">
        <v>219</v>
      </c>
      <c r="J36" s="852"/>
      <c r="K36" s="852"/>
      <c r="L36" s="852"/>
      <c r="M36" s="852"/>
      <c r="N36" s="852"/>
      <c r="O36" s="297"/>
    </row>
    <row r="37" spans="1:15" x14ac:dyDescent="0.2">
      <c r="A37" s="293"/>
      <c r="B37" s="294"/>
      <c r="C37" s="293"/>
      <c r="D37" s="293"/>
      <c r="E37" s="293"/>
      <c r="F37" s="293"/>
      <c r="G37" s="291"/>
      <c r="H37" s="291"/>
      <c r="I37" s="293"/>
      <c r="J37" s="294"/>
      <c r="K37" s="293"/>
      <c r="L37" s="293"/>
      <c r="M37" s="293"/>
      <c r="N37" s="293"/>
      <c r="O37" s="291"/>
    </row>
    <row r="38" spans="1:15" x14ac:dyDescent="0.2">
      <c r="A38" s="296" t="s">
        <v>140</v>
      </c>
      <c r="B38" s="296"/>
      <c r="C38" s="296"/>
      <c r="D38" s="296"/>
      <c r="E38" s="296"/>
      <c r="F38" s="296"/>
      <c r="G38" s="291"/>
      <c r="H38" s="291"/>
      <c r="I38" s="296" t="s">
        <v>140</v>
      </c>
      <c r="J38" s="296"/>
      <c r="K38" s="296"/>
      <c r="L38" s="296"/>
      <c r="M38" s="296"/>
      <c r="N38" s="296"/>
      <c r="O38" s="291"/>
    </row>
    <row r="39" spans="1:15" s="290" customFormat="1" ht="14.75" customHeight="1" x14ac:dyDescent="0.2">
      <c r="A39" s="295"/>
      <c r="B39" s="851" t="str">
        <f>Inv!$I$12</f>
        <v/>
      </c>
      <c r="C39" s="851"/>
      <c r="D39" s="851"/>
      <c r="E39" s="851"/>
      <c r="F39" s="851"/>
      <c r="G39" s="291"/>
      <c r="H39" s="291"/>
      <c r="I39" s="295"/>
      <c r="J39" s="851" t="str">
        <f>Inv!$I$12</f>
        <v/>
      </c>
      <c r="K39" s="851"/>
      <c r="L39" s="851"/>
      <c r="M39" s="851"/>
      <c r="N39" s="851"/>
      <c r="O39" s="298"/>
    </row>
    <row r="40" spans="1:15" s="290" customFormat="1" ht="14.75" customHeight="1" x14ac:dyDescent="0.2">
      <c r="A40" s="295"/>
      <c r="B40" s="851" t="str">
        <f>Inv!$I$13</f>
        <v/>
      </c>
      <c r="C40" s="851"/>
      <c r="D40" s="851"/>
      <c r="E40" s="851"/>
      <c r="F40" s="851"/>
      <c r="G40" s="291"/>
      <c r="H40" s="291"/>
      <c r="I40" s="295"/>
      <c r="J40" s="851" t="str">
        <f>Inv!$I$13</f>
        <v/>
      </c>
      <c r="K40" s="851"/>
      <c r="L40" s="851"/>
      <c r="M40" s="851"/>
      <c r="N40" s="851"/>
      <c r="O40" s="298"/>
    </row>
    <row r="41" spans="1:15" s="290" customFormat="1" ht="14.75" customHeight="1" x14ac:dyDescent="0.2">
      <c r="A41" s="295"/>
      <c r="B41" s="851" t="str">
        <f>Inv!$I$14</f>
        <v/>
      </c>
      <c r="C41" s="851"/>
      <c r="D41" s="851"/>
      <c r="E41" s="851"/>
      <c r="F41" s="851"/>
      <c r="G41" s="291"/>
      <c r="H41" s="291"/>
      <c r="I41" s="295"/>
      <c r="J41" s="851" t="str">
        <f>Inv!$I$14</f>
        <v/>
      </c>
      <c r="K41" s="851"/>
      <c r="L41" s="851"/>
      <c r="M41" s="851"/>
      <c r="N41" s="851"/>
      <c r="O41" s="298"/>
    </row>
    <row r="42" spans="1:15" s="290" customFormat="1" ht="14.75" customHeight="1" x14ac:dyDescent="0.2">
      <c r="A42" s="295"/>
      <c r="B42" s="851" t="str">
        <f>HOME_City_Ship &amp; ", " &amp; HOME_Province_Ship &amp; " " &amp; HOME_Zip_Ship</f>
        <v xml:space="preserve">,  </v>
      </c>
      <c r="C42" s="851"/>
      <c r="D42" s="851"/>
      <c r="E42" s="851"/>
      <c r="F42" s="851"/>
      <c r="G42" s="291"/>
      <c r="H42" s="291"/>
      <c r="I42" s="295"/>
      <c r="J42" s="851" t="str">
        <f>HOME_City_Ship &amp; ", " &amp; HOME_Province_Ship &amp; " " &amp; HOME_Zip_Ship</f>
        <v xml:space="preserve">,  </v>
      </c>
      <c r="K42" s="851"/>
      <c r="L42" s="851"/>
      <c r="M42" s="851"/>
      <c r="N42" s="851"/>
      <c r="O42" s="298"/>
    </row>
    <row r="43" spans="1:15" s="290" customFormat="1" ht="14.75" customHeight="1" x14ac:dyDescent="0.2">
      <c r="A43" s="295"/>
      <c r="B43" s="851" t="str">
        <f>HOME_Country_Ship</f>
        <v/>
      </c>
      <c r="C43" s="851"/>
      <c r="D43" s="851"/>
      <c r="E43" s="851"/>
      <c r="F43" s="851"/>
      <c r="G43" s="291"/>
      <c r="H43" s="291"/>
      <c r="I43" s="295"/>
      <c r="J43" s="851" t="str">
        <f>HOME_Country_Ship</f>
        <v/>
      </c>
      <c r="K43" s="851"/>
      <c r="L43" s="851"/>
      <c r="M43" s="851"/>
      <c r="N43" s="851"/>
      <c r="O43" s="298"/>
    </row>
    <row r="44" spans="1:15" s="290" customFormat="1" ht="14.75" customHeight="1" x14ac:dyDescent="0.2">
      <c r="A44" s="295"/>
      <c r="B44" s="849" t="s">
        <v>142</v>
      </c>
      <c r="C44" s="849"/>
      <c r="D44" s="851" t="str">
        <f>RIGHT(Inv!$I$17,LEN(Inv!$I$17)-9)</f>
        <v xml:space="preserve">  </v>
      </c>
      <c r="E44" s="851"/>
      <c r="F44" s="851"/>
      <c r="G44" s="291"/>
      <c r="H44" s="291"/>
      <c r="I44" s="295"/>
      <c r="J44" s="849" t="s">
        <v>142</v>
      </c>
      <c r="K44" s="849"/>
      <c r="L44" s="851" t="str">
        <f>RIGHT(Inv!$I$17,LEN(Inv!$I$17)-9)</f>
        <v xml:space="preserve">  </v>
      </c>
      <c r="M44" s="851"/>
      <c r="N44" s="851"/>
      <c r="O44" s="298"/>
    </row>
    <row r="45" spans="1:15" x14ac:dyDescent="0.2">
      <c r="A45" s="293"/>
      <c r="B45" s="292" t="s">
        <v>143</v>
      </c>
      <c r="C45" s="848" t="str">
        <f>Inv!$J$18</f>
        <v/>
      </c>
      <c r="D45" s="848"/>
      <c r="E45" s="848"/>
      <c r="F45" s="848"/>
      <c r="G45" s="291"/>
      <c r="H45" s="291"/>
      <c r="I45" s="293"/>
      <c r="J45" s="292" t="s">
        <v>143</v>
      </c>
      <c r="K45" s="848" t="str">
        <f>Inv!$J$18</f>
        <v/>
      </c>
      <c r="L45" s="848"/>
      <c r="M45" s="848"/>
      <c r="N45" s="848"/>
      <c r="O45" s="291"/>
    </row>
    <row r="46" spans="1:15" x14ac:dyDescent="0.2">
      <c r="A46" s="293"/>
      <c r="B46" s="849" t="s">
        <v>144</v>
      </c>
      <c r="C46" s="849"/>
      <c r="D46" s="849"/>
      <c r="E46" s="731" t="str">
        <f>Inv!Q7</f>
        <v/>
      </c>
      <c r="F46" s="731"/>
      <c r="G46" s="291"/>
      <c r="H46" s="291"/>
      <c r="I46" s="293"/>
      <c r="J46" s="849" t="s">
        <v>144</v>
      </c>
      <c r="K46" s="849"/>
      <c r="L46" s="849"/>
      <c r="M46" s="731" t="str">
        <f>Inv!Q7</f>
        <v/>
      </c>
      <c r="N46" s="731"/>
      <c r="O46" s="291"/>
    </row>
    <row r="47" spans="1:15" x14ac:dyDescent="0.2">
      <c r="A47" s="293"/>
      <c r="B47" s="849" t="str">
        <f>B15</f>
        <v>Tax Id or EORI #:</v>
      </c>
      <c r="C47" s="849"/>
      <c r="D47" s="849"/>
      <c r="E47" s="731" t="str">
        <f>Inv!K19</f>
        <v/>
      </c>
      <c r="F47" s="731"/>
      <c r="G47" s="291"/>
      <c r="H47" s="291"/>
      <c r="I47" s="293"/>
      <c r="J47" s="849" t="str">
        <f>B15</f>
        <v>Tax Id or EORI #:</v>
      </c>
      <c r="K47" s="849"/>
      <c r="L47" s="849"/>
      <c r="M47" s="731" t="str">
        <f>Inv!K19</f>
        <v/>
      </c>
      <c r="N47" s="731"/>
      <c r="O47" s="291"/>
    </row>
    <row r="48" spans="1:15" x14ac:dyDescent="0.2">
      <c r="A48" s="294"/>
      <c r="B48" s="849" t="s">
        <v>170</v>
      </c>
      <c r="C48" s="849"/>
      <c r="D48" s="849"/>
      <c r="E48" s="850"/>
      <c r="F48" s="850"/>
      <c r="G48" s="291"/>
      <c r="H48" s="291"/>
      <c r="I48" s="294"/>
      <c r="J48" s="849" t="s">
        <v>170</v>
      </c>
      <c r="K48" s="849"/>
      <c r="L48" s="849"/>
      <c r="M48" s="850"/>
      <c r="N48" s="850"/>
      <c r="O48" s="291"/>
    </row>
    <row r="49" spans="1:15" x14ac:dyDescent="0.2">
      <c r="A49" s="291"/>
      <c r="B49" s="291"/>
      <c r="C49" s="291"/>
      <c r="D49" s="291"/>
      <c r="E49" s="291"/>
      <c r="F49" s="291"/>
      <c r="G49" s="291"/>
      <c r="H49" s="291"/>
      <c r="I49" s="291"/>
      <c r="J49" s="291"/>
      <c r="K49" s="291"/>
      <c r="L49" s="291"/>
      <c r="M49" s="291"/>
      <c r="N49" s="291"/>
      <c r="O49" s="291"/>
    </row>
    <row r="54" spans="1:15" x14ac:dyDescent="0.2">
      <c r="M54" s="62"/>
    </row>
    <row r="55" spans="1:15" x14ac:dyDescent="0.2">
      <c r="M55" s="62"/>
    </row>
    <row r="64" spans="1:15" x14ac:dyDescent="0.2">
      <c r="M64" s="122"/>
    </row>
  </sheetData>
  <sheetProtection algorithmName="SHA-512" hashValue="TpYBV1Xf67Z609qN64npqad+nP4GXVbBURknrHyE6sziSgWYcMcLMI4kQOXVadRvkmJohq2g9t1CpVofkBkQ+g==" saltValue="5BxxGCIwWU9XHE6hxlmKTQ==" spinCount="100000" sheet="1" objects="1" scenarios="1" selectLockedCells="1"/>
  <mergeCells count="95">
    <mergeCell ref="J26:N26"/>
    <mergeCell ref="B32:D32"/>
    <mergeCell ref="J32:L32"/>
    <mergeCell ref="E14:F14"/>
    <mergeCell ref="M14:N14"/>
    <mergeCell ref="M15:N15"/>
    <mergeCell ref="E30:F30"/>
    <mergeCell ref="E31:F31"/>
    <mergeCell ref="M30:N30"/>
    <mergeCell ref="M31:N31"/>
    <mergeCell ref="B23:F23"/>
    <mergeCell ref="B24:F24"/>
    <mergeCell ref="J23:N23"/>
    <mergeCell ref="J24:N24"/>
    <mergeCell ref="B25:F25"/>
    <mergeCell ref="B26:F26"/>
    <mergeCell ref="J25:N25"/>
    <mergeCell ref="B40:F40"/>
    <mergeCell ref="J40:N40"/>
    <mergeCell ref="B39:F39"/>
    <mergeCell ref="J39:N39"/>
    <mergeCell ref="A36:F36"/>
    <mergeCell ref="I36:N36"/>
    <mergeCell ref="A35:F35"/>
    <mergeCell ref="I35:N35"/>
    <mergeCell ref="B31:D31"/>
    <mergeCell ref="J31:L31"/>
    <mergeCell ref="J27:N27"/>
    <mergeCell ref="B27:F27"/>
    <mergeCell ref="K29:N29"/>
    <mergeCell ref="E32:F32"/>
    <mergeCell ref="B28:C28"/>
    <mergeCell ref="I3:N3"/>
    <mergeCell ref="I4:N4"/>
    <mergeCell ref="A19:F19"/>
    <mergeCell ref="A20:F20"/>
    <mergeCell ref="I19:N19"/>
    <mergeCell ref="I20:N20"/>
    <mergeCell ref="B9:F9"/>
    <mergeCell ref="D12:F12"/>
    <mergeCell ref="B11:F11"/>
    <mergeCell ref="B10:F10"/>
    <mergeCell ref="A3:F3"/>
    <mergeCell ref="A4:F4"/>
    <mergeCell ref="J10:N10"/>
    <mergeCell ref="J14:L14"/>
    <mergeCell ref="J11:N11"/>
    <mergeCell ref="E16:F16"/>
    <mergeCell ref="K13:N13"/>
    <mergeCell ref="B16:D16"/>
    <mergeCell ref="J16:L16"/>
    <mergeCell ref="J7:N7"/>
    <mergeCell ref="J8:N8"/>
    <mergeCell ref="J9:N9"/>
    <mergeCell ref="B14:D14"/>
    <mergeCell ref="B7:F7"/>
    <mergeCell ref="B8:F8"/>
    <mergeCell ref="J12:K12"/>
    <mergeCell ref="B12:C12"/>
    <mergeCell ref="C13:F13"/>
    <mergeCell ref="L12:N12"/>
    <mergeCell ref="B15:D15"/>
    <mergeCell ref="J15:L15"/>
    <mergeCell ref="E15:F15"/>
    <mergeCell ref="D28:F28"/>
    <mergeCell ref="J28:K28"/>
    <mergeCell ref="L28:N28"/>
    <mergeCell ref="M32:N32"/>
    <mergeCell ref="C29:F29"/>
    <mergeCell ref="B30:D30"/>
    <mergeCell ref="J30:L30"/>
    <mergeCell ref="J42:N42"/>
    <mergeCell ref="B42:F42"/>
    <mergeCell ref="B41:F41"/>
    <mergeCell ref="J41:N41"/>
    <mergeCell ref="B43:F43"/>
    <mergeCell ref="M48:N48"/>
    <mergeCell ref="K45:N45"/>
    <mergeCell ref="J46:L46"/>
    <mergeCell ref="J43:N43"/>
    <mergeCell ref="J44:K44"/>
    <mergeCell ref="L44:N44"/>
    <mergeCell ref="J48:L48"/>
    <mergeCell ref="J47:L47"/>
    <mergeCell ref="M46:N46"/>
    <mergeCell ref="M47:N47"/>
    <mergeCell ref="C45:F45"/>
    <mergeCell ref="B46:D46"/>
    <mergeCell ref="E48:F48"/>
    <mergeCell ref="B44:C44"/>
    <mergeCell ref="D44:F44"/>
    <mergeCell ref="B48:D48"/>
    <mergeCell ref="B47:D47"/>
    <mergeCell ref="E46:F46"/>
    <mergeCell ref="E47:F47"/>
  </mergeCells>
  <conditionalFormatting sqref="A2:F2 A5:F13 A3:A4 A16:F16 A14:E15">
    <cfRule type="expression" dxfId="6" priority="7">
      <formula>OR(Checkbox_EtiqShip1=FALSE,Checkbox_EtiqShip1=0)</formula>
    </cfRule>
  </conditionalFormatting>
  <conditionalFormatting sqref="I2:N2 I5:N13 I3:I4 I16:N16 I14:M15">
    <cfRule type="expression" dxfId="5" priority="8">
      <formula>OR(Checkbox_EtiqShip2=FALSE,Checkbox_EtiqShip2=0)</formula>
    </cfRule>
  </conditionalFormatting>
  <conditionalFormatting sqref="A18:F18 A21:F29 A19:A20 A32:F32 A30:E31">
    <cfRule type="expression" dxfId="4" priority="9">
      <formula>OR(Checkbox_EtiqShip3=FALSE,Checkbox_EtiqShip3=0)</formula>
    </cfRule>
  </conditionalFormatting>
  <conditionalFormatting sqref="I18:N18 I21:N29 I19:I20 I32:N32 I30:M31">
    <cfRule type="expression" dxfId="3" priority="10">
      <formula>OR(Checkbox_EtiqShip4=FALSE,Checkbox_EtiqShip4=0)</formula>
    </cfRule>
  </conditionalFormatting>
  <conditionalFormatting sqref="A34:F34 A37:F45 A35:A36 A48:F48 A46:E47">
    <cfRule type="expression" dxfId="2" priority="11">
      <formula>OR(Checkbox_EtiqShip5=FALSE,Checkbox_EtiqShip5=0)</formula>
    </cfRule>
  </conditionalFormatting>
  <conditionalFormatting sqref="I34:N34 I37:N45 I35:I36 I48:N48 I46:M47">
    <cfRule type="expression" dxfId="1" priority="12">
      <formula>OR(Checkbox_EtiqShip6=FALSE,Checkbox_EtiqShip6=0)</formula>
    </cfRule>
  </conditionalFormatting>
  <pageMargins left="0.25" right="0" top="0.5" bottom="0.5" header="0.3" footer="0.3"/>
  <pageSetup scale="8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kbox_EtiqShip1">
              <controlPr defaultSize="0" print="0" autoFill="0" autoLine="0" autoPict="0">
                <anchor moveWithCells="1">
                  <from>
                    <xdr:col>0</xdr:col>
                    <xdr:colOff>152400</xdr:colOff>
                    <xdr:row>0</xdr:row>
                    <xdr:rowOff>177800</xdr:rowOff>
                  </from>
                  <to>
                    <xdr:col>5</xdr:col>
                    <xdr:colOff>330200</xdr:colOff>
                    <xdr:row>0</xdr:row>
                    <xdr:rowOff>406400</xdr:rowOff>
                  </to>
                </anchor>
              </controlPr>
            </control>
          </mc:Choice>
        </mc:AlternateContent>
        <mc:AlternateContent xmlns:mc="http://schemas.openxmlformats.org/markup-compatibility/2006">
          <mc:Choice Requires="x14">
            <control shapeId="116738" r:id="rId5" name="Chkbox_EtiqShip2">
              <controlPr defaultSize="0" print="0" autoFill="0" autoLine="0" autoPict="0">
                <anchor moveWithCells="1">
                  <from>
                    <xdr:col>8</xdr:col>
                    <xdr:colOff>152400</xdr:colOff>
                    <xdr:row>0</xdr:row>
                    <xdr:rowOff>177800</xdr:rowOff>
                  </from>
                  <to>
                    <xdr:col>13</xdr:col>
                    <xdr:colOff>368300</xdr:colOff>
                    <xdr:row>0</xdr:row>
                    <xdr:rowOff>406400</xdr:rowOff>
                  </to>
                </anchor>
              </controlPr>
            </control>
          </mc:Choice>
        </mc:AlternateContent>
        <mc:AlternateContent xmlns:mc="http://schemas.openxmlformats.org/markup-compatibility/2006">
          <mc:Choice Requires="x14">
            <control shapeId="116741" r:id="rId6" name="Chkbox_EtiqShip3">
              <controlPr defaultSize="0" print="0" autoFill="0" autoLine="0" autoPict="0">
                <anchor moveWithCells="1">
                  <from>
                    <xdr:col>0</xdr:col>
                    <xdr:colOff>152400</xdr:colOff>
                    <xdr:row>16</xdr:row>
                    <xdr:rowOff>444500</xdr:rowOff>
                  </from>
                  <to>
                    <xdr:col>5</xdr:col>
                    <xdr:colOff>330200</xdr:colOff>
                    <xdr:row>16</xdr:row>
                    <xdr:rowOff>673100</xdr:rowOff>
                  </to>
                </anchor>
              </controlPr>
            </control>
          </mc:Choice>
        </mc:AlternateContent>
        <mc:AlternateContent xmlns:mc="http://schemas.openxmlformats.org/markup-compatibility/2006">
          <mc:Choice Requires="x14">
            <control shapeId="116742" r:id="rId7" name="Chkbox_EtiqShip4">
              <controlPr defaultSize="0" print="0" autoFill="0" autoLine="0" autoPict="0">
                <anchor moveWithCells="1">
                  <from>
                    <xdr:col>8</xdr:col>
                    <xdr:colOff>152400</xdr:colOff>
                    <xdr:row>16</xdr:row>
                    <xdr:rowOff>444500</xdr:rowOff>
                  </from>
                  <to>
                    <xdr:col>13</xdr:col>
                    <xdr:colOff>368300</xdr:colOff>
                    <xdr:row>16</xdr:row>
                    <xdr:rowOff>673100</xdr:rowOff>
                  </to>
                </anchor>
              </controlPr>
            </control>
          </mc:Choice>
        </mc:AlternateContent>
        <mc:AlternateContent xmlns:mc="http://schemas.openxmlformats.org/markup-compatibility/2006">
          <mc:Choice Requires="x14">
            <control shapeId="116743" r:id="rId8" name="Chkbox_EtiqShip5">
              <controlPr defaultSize="0" print="0" autoFill="0" autoLine="0" autoPict="0">
                <anchor moveWithCells="1">
                  <from>
                    <xdr:col>0</xdr:col>
                    <xdr:colOff>152400</xdr:colOff>
                    <xdr:row>32</xdr:row>
                    <xdr:rowOff>711200</xdr:rowOff>
                  </from>
                  <to>
                    <xdr:col>5</xdr:col>
                    <xdr:colOff>330200</xdr:colOff>
                    <xdr:row>32</xdr:row>
                    <xdr:rowOff>914400</xdr:rowOff>
                  </to>
                </anchor>
              </controlPr>
            </control>
          </mc:Choice>
        </mc:AlternateContent>
        <mc:AlternateContent xmlns:mc="http://schemas.openxmlformats.org/markup-compatibility/2006">
          <mc:Choice Requires="x14">
            <control shapeId="116744" r:id="rId9" name="Chkbox_EtiqShip6">
              <controlPr defaultSize="0" print="0" autoFill="0" autoLine="0" autoPict="0">
                <anchor moveWithCells="1">
                  <from>
                    <xdr:col>8</xdr:col>
                    <xdr:colOff>152400</xdr:colOff>
                    <xdr:row>32</xdr:row>
                    <xdr:rowOff>711200</xdr:rowOff>
                  </from>
                  <to>
                    <xdr:col>13</xdr:col>
                    <xdr:colOff>330200</xdr:colOff>
                    <xdr:row>32</xdr:row>
                    <xdr:rowOff>914400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1" tint="0.34998626667073579"/>
  </sheetPr>
  <dimension ref="B1:AK420"/>
  <sheetViews>
    <sheetView showGridLines="0" zoomScaleNormal="100" workbookViewId="0"/>
  </sheetViews>
  <sheetFormatPr baseColWidth="10" defaultColWidth="8.6640625" defaultRowHeight="16" x14ac:dyDescent="0.2"/>
  <cols>
    <col min="1" max="1" width="2.5" customWidth="1"/>
    <col min="2" max="2" width="27.1640625" customWidth="1"/>
    <col min="3" max="3" width="18.6640625" customWidth="1"/>
    <col min="4" max="4" width="16.6640625" customWidth="1"/>
    <col min="5" max="5" width="13.33203125" customWidth="1"/>
    <col min="6" max="6" width="13.83203125" customWidth="1"/>
    <col min="7" max="7" width="14.33203125" customWidth="1"/>
    <col min="8" max="8" width="14.6640625" customWidth="1"/>
    <col min="9" max="9" width="106.1640625" customWidth="1"/>
    <col min="10" max="10" width="23.6640625" customWidth="1"/>
    <col min="11" max="11" width="23.83203125" customWidth="1"/>
    <col min="12" max="12" width="14.5" customWidth="1"/>
    <col min="13" max="13" width="20" customWidth="1"/>
    <col min="14" max="14" width="25.5" customWidth="1"/>
    <col min="15" max="16" width="16.6640625" style="17" customWidth="1"/>
    <col min="17" max="17" width="17.5" customWidth="1"/>
    <col min="18" max="18" width="16.1640625" customWidth="1"/>
    <col min="19" max="19" width="17.5" customWidth="1"/>
    <col min="20" max="20" width="32.6640625" customWidth="1"/>
    <col min="21" max="21" width="19" bestFit="1" customWidth="1"/>
    <col min="22" max="22" width="19.1640625" customWidth="1"/>
    <col min="23" max="23" width="10.1640625" customWidth="1"/>
    <col min="24" max="25" width="11.6640625" customWidth="1"/>
    <col min="26" max="26" width="22.6640625" customWidth="1"/>
    <col min="27" max="27" width="16.6640625" customWidth="1"/>
    <col min="28" max="28" width="11.1640625" customWidth="1"/>
    <col min="29" max="29" width="10.83203125" customWidth="1"/>
    <col min="30" max="30" width="9.6640625" customWidth="1"/>
    <col min="34" max="34" width="17" customWidth="1"/>
    <col min="35" max="35" width="29.83203125" bestFit="1" customWidth="1"/>
    <col min="36" max="36" width="10.83203125" bestFit="1" customWidth="1"/>
    <col min="37" max="37" width="8.6640625" bestFit="1" customWidth="1"/>
    <col min="38" max="38" width="9" bestFit="1" customWidth="1"/>
    <col min="39" max="39" width="10" bestFit="1" customWidth="1"/>
    <col min="40" max="40" width="12.6640625" bestFit="1" customWidth="1"/>
    <col min="41" max="41" width="9.83203125" bestFit="1" customWidth="1"/>
    <col min="42" max="42" width="7.1640625" bestFit="1" customWidth="1"/>
    <col min="43" max="43" width="9.6640625" bestFit="1" customWidth="1"/>
    <col min="44" max="44" width="26" bestFit="1" customWidth="1"/>
  </cols>
  <sheetData>
    <row r="1" spans="2:37" x14ac:dyDescent="0.2">
      <c r="J1" t="s">
        <v>351</v>
      </c>
      <c r="K1" s="442">
        <f>SUM(Quote!Q60,Quote!AI60*(QUOTE_Split_SoftwareHardware))</f>
        <v>0</v>
      </c>
      <c r="L1" s="453">
        <f>SUM(Quote!Q60,Quote!AI60*(QUOTE_Split_SoftwareHardware))</f>
        <v>0</v>
      </c>
      <c r="N1" s="579" t="s">
        <v>325</v>
      </c>
      <c r="O1" s="579" t="s">
        <v>325</v>
      </c>
      <c r="P1" s="579" t="s">
        <v>325</v>
      </c>
      <c r="Q1" s="579" t="s">
        <v>325</v>
      </c>
      <c r="R1" s="579" t="s">
        <v>325</v>
      </c>
      <c r="S1" s="579" t="s">
        <v>325</v>
      </c>
      <c r="T1" s="579" t="s">
        <v>325</v>
      </c>
      <c r="U1" s="580" t="s">
        <v>14</v>
      </c>
      <c r="V1" s="580" t="s">
        <v>14</v>
      </c>
      <c r="W1" s="580" t="s">
        <v>14</v>
      </c>
      <c r="X1" s="580" t="s">
        <v>14</v>
      </c>
      <c r="Y1" s="580" t="s">
        <v>14</v>
      </c>
      <c r="Z1" s="580" t="s">
        <v>14</v>
      </c>
      <c r="AA1" s="580" t="s">
        <v>14</v>
      </c>
      <c r="AB1" s="581" t="s">
        <v>264</v>
      </c>
      <c r="AC1" s="581" t="s">
        <v>264</v>
      </c>
      <c r="AD1" s="581" t="s">
        <v>264</v>
      </c>
      <c r="AE1" s="581" t="s">
        <v>264</v>
      </c>
      <c r="AF1" s="581" t="s">
        <v>264</v>
      </c>
      <c r="AG1" s="581" t="s">
        <v>264</v>
      </c>
      <c r="AH1" s="581" t="s">
        <v>264</v>
      </c>
    </row>
    <row r="2" spans="2:37" s="68" customFormat="1" ht="34" x14ac:dyDescent="0.2">
      <c r="B2" s="577" t="s">
        <v>27</v>
      </c>
      <c r="C2" s="577" t="s">
        <v>530</v>
      </c>
      <c r="D2" s="577" t="s">
        <v>35</v>
      </c>
      <c r="E2" s="577" t="s">
        <v>14</v>
      </c>
      <c r="F2" s="577" t="s">
        <v>264</v>
      </c>
      <c r="G2" s="577" t="s">
        <v>265</v>
      </c>
      <c r="H2" s="577" t="s">
        <v>266</v>
      </c>
      <c r="I2" s="577" t="s">
        <v>0</v>
      </c>
      <c r="J2" s="577" t="s">
        <v>529</v>
      </c>
      <c r="K2" s="577" t="s">
        <v>528</v>
      </c>
      <c r="L2" s="577" t="s">
        <v>527</v>
      </c>
      <c r="M2" s="577" t="s">
        <v>526</v>
      </c>
      <c r="N2" s="578" t="s">
        <v>418</v>
      </c>
      <c r="O2" s="577" t="s">
        <v>419</v>
      </c>
      <c r="P2" s="577" t="s">
        <v>420</v>
      </c>
      <c r="Q2" s="577" t="s">
        <v>421</v>
      </c>
      <c r="R2" s="577" t="s">
        <v>422</v>
      </c>
      <c r="S2" s="577" t="s">
        <v>423</v>
      </c>
      <c r="T2" s="68" t="s">
        <v>424</v>
      </c>
      <c r="U2" s="578" t="s">
        <v>426</v>
      </c>
      <c r="V2" s="577" t="s">
        <v>427</v>
      </c>
      <c r="W2" s="577" t="s">
        <v>428</v>
      </c>
      <c r="X2" s="577" t="s">
        <v>429</v>
      </c>
      <c r="Y2" s="577" t="s">
        <v>431</v>
      </c>
      <c r="Z2" s="577" t="s">
        <v>432</v>
      </c>
      <c r="AA2" s="68" t="s">
        <v>430</v>
      </c>
      <c r="AB2" s="578" t="s">
        <v>326</v>
      </c>
      <c r="AC2" s="577" t="s">
        <v>327</v>
      </c>
      <c r="AD2" s="577" t="s">
        <v>328</v>
      </c>
      <c r="AE2" s="577" t="s">
        <v>329</v>
      </c>
      <c r="AF2" s="577" t="s">
        <v>525</v>
      </c>
      <c r="AG2" s="577" t="s">
        <v>524</v>
      </c>
      <c r="AH2" s="577" t="s">
        <v>425</v>
      </c>
      <c r="AI2"/>
      <c r="AJ2"/>
      <c r="AK2"/>
    </row>
    <row r="3" spans="2:37" x14ac:dyDescent="0.2">
      <c r="B3" s="66" t="s">
        <v>55</v>
      </c>
      <c r="C3" s="66">
        <f>DENDRO_N_System-1</f>
        <v>0</v>
      </c>
      <c r="D3" s="66">
        <f>IF(IFERROR(WinDENDRO!$H$14+0,0)&gt;0,DENDRO_N_System-1,0)</f>
        <v>0</v>
      </c>
      <c r="E3" s="66">
        <v>1</v>
      </c>
      <c r="F3" s="66"/>
      <c r="G3" s="66">
        <v>0</v>
      </c>
      <c r="H3" s="66">
        <v>0</v>
      </c>
      <c r="I3" s="66" t="str">
        <f>WinDENDRO!E2 &amp; IF(Francais," Incluant:"," Including:") &amp; REPT(" ",0)</f>
        <v>WinDENDRO™ Reg 2025 Software With Scanner Including:</v>
      </c>
      <c r="J3" s="66">
        <f>WinDENDRO!$I$14</f>
        <v>903149</v>
      </c>
      <c r="K3" s="66" t="e">
        <f>TableQCalcMain[[#This Row],[Extended_price]]</f>
        <v>#REF!</v>
      </c>
      <c r="L3" s="66" t="e">
        <f>IF(OR(TableQCalcMain[[#This Row],[Real_Quantity]]=0,TableQCalcMain[[#This Row],[Extended_price]]=0),"",ROUND(TableQCalcMain[[#This Row],[Extended_price]]/TableQCalcMain[[#This Row],[Real_Quantity]],2))</f>
        <v>#REF!</v>
      </c>
      <c r="M3" s="712" t="e">
        <f>ROUND(
IF(Distributeurs_Rabais,
WinDENDRO!#REF! + WinDENDRO!#REF!,
WinDENDRO!H11 + WinDENDRO!H14)+K5,
2)</f>
        <v>#REF!</v>
      </c>
      <c r="N3" s="77" t="str">
        <f>IF(TableQCalcMain[[#This Row],[RowNumOfShownItems_Unsplit]]&lt;&gt;"",INDEX(TableQCalcMain[Description],TableQCalcMain[[#This Row],[RowNumOfShownItems_Unsplit]]),"")</f>
        <v/>
      </c>
      <c r="O3" s="66" t="str">
        <f>IF(TableQCalcMain[[#This Row],[RowNumOfShownItems_Unsplit]]&lt;&gt;"",INDEX(TableQCalcMain[Harmonized_Code],TableQCalcMain[[#This Row],[RowNumOfShownItems_Unsplit]]),"")</f>
        <v/>
      </c>
      <c r="P3" s="66" t="str">
        <f>IF(TableQCalcMain[[#This Row],[RowNumOfShownItems_Unsplit]]="","",INDEX(TableQCalcMain[Detailed_Ext_Price],TableQCalcMain[[#This Row],[RowNumOfShownItems_Unsplit]]))</f>
        <v/>
      </c>
      <c r="Q3" s="66" t="str">
        <f>IF(TableQCalcMain[[#This Row],[RowNumOfShownItems_Unsplit]]="","",INDEX(TableQCalcMain[Real_Quantity],TableQCalcMain[[#This Row],[RowNumOfShownItems_Unsplit]]))</f>
        <v/>
      </c>
      <c r="R3" s="66" t="str">
        <f>IF(TableQCalcMain[[#This Row],[RowNumOfShownItems_Unsplit]]="","",
IF(IFERROR(
INDEX(TableQCalcMain[Unit_Price],TableQCalcMain[[#This Row],[RowNumOfShownItems_Unsplit]]),0)=0,"",
INDEX(TableQCalcMain[Unit_Price],TableQCalcMain[[#This Row],[RowNumOfShownItems_Unsplit]])
))</f>
        <v/>
      </c>
      <c r="S3" s="66" t="str">
        <f>IF(TableQCalcMain[[#This Row],[RowNumOfShownItems_Unsplit]]="","",
IF(IFERROR(
INDEX(TableQCalcMain[Extended_price],TableQCalcMain[[#This Row],[RowNumOfShownItems_Unsplit]]),0)=0,"",
INDEX(TableQCalcMain[Extended_price],TableQCalcMain[[#This Row],[RowNumOfShownItems_Unsplit]])
))</f>
        <v/>
      </c>
      <c r="T3" t="str">
        <f t="array" ref="T3">IFERROR(MATCH(0,COUNTIF(N2:$N$2,TableQCalcMain[Description])+IF(TableQCalcMain[ShowDesc?]=0,1,0),0),"")</f>
        <v/>
      </c>
      <c r="U3" s="66" t="str">
        <f>IF(TableQCalcMain[[#This Row],[RowNumOfShownItems_SOFT]]&lt;&gt;"",INDEX(TableQCalcMain[Description],TableQCalcMain[[#This Row],[RowNumOfShownItems_SOFT]]),"")</f>
        <v/>
      </c>
      <c r="V3" s="66" t="str">
        <f>IF(TableQCalcMain[[#This Row],[RowNumOfShownItems_SOFT]]&lt;&gt;"",INDEX(TableQCalcMain[Harmonized_Code],TableQCalcMain[[#This Row],[RowNumOfShownItems_SOFT]]),"")</f>
        <v/>
      </c>
      <c r="W3" s="66" t="str">
        <f>IF(TableQCalcMain[[#This Row],[RowNumOfShownItems_SOFT]]="","",INDEX(TableQCalcMain[Detailed_Ext_Price],TableQCalcMain[[#This Row],[RowNumOfShownItems_SOFT]]))</f>
        <v/>
      </c>
      <c r="X3" s="66" t="str">
        <f>IF(TableQCalcMain[[#This Row],[RowNumOfShownItems_SOFT]]="","",INDEX(TableQCalcMain[Real_Quantity],TableQCalcMain[[#This Row],[RowNumOfShownItems_SOFT]]))</f>
        <v/>
      </c>
      <c r="Y3" s="66" t="str">
        <f>IF(TableQCalcMain[[#This Row],[RowNumOfShownItems_SOFT]]="","",INDEX(TableQCalcMain[Unit_Price],TableQCalcMain[[#This Row],[RowNumOfShownItems_SOFT]]))</f>
        <v/>
      </c>
      <c r="Z3" s="66" t="str">
        <f>IF(TableQCalcMain[[#This Row],[RowNumOfShownItems_SOFT]]="","",INDEX(TableQCalcMain[Extended_price],TableQCalcMain[[#This Row],[RowNumOfShownItems_SOFT]]))</f>
        <v/>
      </c>
      <c r="AA3" t="str">
        <f t="array" ref="AA3">IFERROR(MATCH(0,COUNTIF(U2:$U$2,TableQCalcMain[Description])+IF(TableQCalcMain[ShowSoft]=0,1,0),0),"")</f>
        <v/>
      </c>
      <c r="AB3" s="66" t="str">
        <f>IF(TableQCalcMain[[#This Row],[RowNumOfShownItems_Hard]]&lt;&gt;"",INDEX(TableQCalcMain[Description],TableQCalcMain[[#This Row],[RowNumOfShownItems_Hard]]),"")</f>
        <v/>
      </c>
      <c r="AC3" s="66" t="str">
        <f>IF(TableQCalcMain[[#This Row],[RowNumOfShownItems_Hard]]&lt;&gt;"",INDEX(TableQCalcMain[Harmonized_Code],TableQCalcMain[[#This Row],[RowNumOfShownItems_Hard]]),"")</f>
        <v/>
      </c>
      <c r="AD3" s="66" t="str">
        <f>IF(TableQCalcMain[[#This Row],[RowNumOfShownItems_Hard]]="","",INDEX(TableQCalcMain[Detailed_Ext_Price],TableQCalcMain[[#This Row],[RowNumOfShownItems_Hard]]))</f>
        <v/>
      </c>
      <c r="AE3" s="66" t="str">
        <f>IF(TableQCalcMain[[#This Row],[RowNumOfShownItems_Hard]]="","",INDEX(TableQCalcMain[Real_Quantity],TableQCalcMain[[#This Row],[RowNumOfShownItems_Hard]]))</f>
        <v/>
      </c>
      <c r="AF3" s="66" t="str">
        <f>IF(TableQCalcMain[[#This Row],[RowNumOfShownItems_Hard]]="","",
IF(IFERROR(
INDEX(TableQCalcMain[Unit_Price],TableQCalcMain[[#This Row],[RowNumOfShownItems_Hard]]),0)=0,"",
INDEX(TableQCalcMain[Unit_Price],TableQCalcMain[[#This Row],[RowNumOfShownItems_Hard]])
))</f>
        <v/>
      </c>
      <c r="AG3" s="66" t="str">
        <f>IF(TableQCalcMain[[#This Row],[RowNumOfShownItems_Hard]]="","",
IF(IFERROR(
INDEX(TableQCalcMain[Extended_price],TableQCalcMain[[#This Row],[RowNumOfShownItems_Hard]]),0)=0,"",
INDEX(TableQCalcMain[Extended_price],TableQCalcMain[[#This Row],[RowNumOfShownItems_Hard]])
))</f>
        <v/>
      </c>
      <c r="AH3" s="66" t="str">
        <f t="array" ref="AH3">IFERROR(MATCH(0,COUNTIF(AB2:$AB$2,TableQCalcMain[Description])+IF(TableQCalcMain[ShowHard]=0,1,0),0),"")</f>
        <v/>
      </c>
    </row>
    <row r="4" spans="2:37" x14ac:dyDescent="0.2">
      <c r="B4" s="687" t="s">
        <v>56</v>
      </c>
      <c r="C4" s="688">
        <f>IF(AND(NOT(QUOTE_Split_SoftwareHardware),N(D3)&gt;0),
IF(DENDRO_N_Software-1=0,0,""),
DENDRO_N_Software-1)</f>
        <v>0</v>
      </c>
      <c r="D4" s="66">
        <f>TableQCalcMain[[#This Row],[Real_Quantity]]</f>
        <v>0</v>
      </c>
      <c r="E4" s="66">
        <v>1</v>
      </c>
      <c r="F4" s="66"/>
      <c r="G4" s="66">
        <f>N(TableQCalcMain[[#This Row],[ShowDesc?]])*TableQCalcMain[[#This Row],[Software]]</f>
        <v>0</v>
      </c>
      <c r="H4" s="66">
        <f>N(TableQCalcMain[[#This Row],[ShowDesc?]])*TableQCalcMain[[#This Row],[Hardware]]</f>
        <v>0</v>
      </c>
      <c r="I4" s="66" t="str">
        <f>IF(OR(DENDRO_N_System=1,QUOTE_Split_SoftwareHardware),"","   • ") &amp; SUBSTITUTE(LEFT(INDEX(DENDRO_SoftwareFullNames,DENDRO_IndexSoftware),FIND(" ",INDEX(DENDRO_SoftwareFullNames,DENDRO_IndexSoftware),FIND(" ",INDEX(DENDRO_SoftwareFullNames,DENDRO_IndexSoftware))+1)),"™",IF(OR(DENDRO_N_System=1,QUOTE_Split_SoftwareHardware),"™",""))&amp;
DENDRO_YearMostRecent &amp; " " &amp; "&amp;" &amp; " XLSTEM"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IF(AND(QUOTE_SameClient=TRUE,DENDRO_N_Software+DENDRO_N_AlreadyHaveSoftware&gt;3),IF(Francais," (incl. rabais multi licenses"," (incl. multi licenses discount")&amp;
" "&amp;TEXT(ROUND((INDEX(DENDRO_SoftwarePriceList,DENDRO_IndexSoftware))*((DENDRO_N_Software-1)-IF(DENDRO_N_Software-1=0,0,SUM(MMULT(
  _xlfn.MUNIT(
   DENDRO_N_Software-1),
    INDEX(TableLists[Column10],DENDRO_N_AlreadyHaveSoftware-1+2):
    INDEX(TableLists[Column10],(DENDRO_N_AlreadyHaveSoftware-1+1)+(DENDRO_N_Software-1))
))))*(1-RebateSoftware*Distributeurs_Rabais),0),"0.00")&amp;")","")</f>
        <v>WinDENDRO™ Reg 2025 &amp; XLSTEM Software on USB drive (PDF &amp; printed manuals)</v>
      </c>
      <c r="J4" s="66">
        <f>IF(AND(DENDRO_N_System&gt;1,NOT(QUOTE_Split_SoftwareHardware)),
"",WinDENDRO!$I$11)</f>
        <v>852349</v>
      </c>
      <c r="K4" s="66">
        <f>ROUND((INDEX(DENDRO_SoftwarePriceList,DENDRO_IndexSoftware))*
IF(DENDRO_N_Software-1=0,0,SUM(MMULT(
  _xlfn.MUNIT(
   DENDRO_N_Software-1),
    INDEX(TableLists[Column10],DENDRO_N_AlreadyHaveSoftware-1+2):
    INDEX(TableLists[Column10],(DENDRO_N_AlreadyHaveSoftware-1+1)+(DENDRO_N_Software-1))
)))*(1-RebateSoftware*Distributeurs_Rabais)
-IF(QUOTE_Split_SoftwareHardware,PrixUSBKey*(DENDRO_N_Software-1),0),0)</f>
        <v>0</v>
      </c>
      <c r="L4" s="66" t="str">
        <f>IF(OR(TableQCalcMain[[#This Row],[Real_Quantity]]=0,TableQCalcMain[[#This Row],[Extended_price]]=0),"",ROUND(TableQCalcMain[[#This Row],[Extended_price]]/TableQCalcMain[[#This Row],[Real_Quantity]],2))</f>
        <v/>
      </c>
      <c r="M4" s="66">
        <f>ROUND(
IF(DENDRO_N_System&gt;1,
IF(NOT(QUOTE_Split_SoftwareHardware),0,TableQCalcMain[[#This Row],[Detailed_Ext_Price]]),
(INDEX(DENDRO_SoftwarePriceList,DENDRO_IndexSoftware))*
IF(DENDRO_N_Software-1=0,0,SUM(MMULT(
  _xlfn.MUNIT(
   DENDRO_N_Software-1),
    INDEX(TableLists[Column10],DENDRO_N_AlreadyHaveSoftware-1+2):
    INDEX(TableLists[Column10],(DENDRO_N_AlreadyHaveSoftware-1+1)+(DENDRO_N_Software-1))
))
)*(1-RebateSoftware*Distributeurs_Rabais)
-IF(QUOTE_Split_SoftwareHardware,PrixUSBKey*(DENDRO_N_Software-1),0)),0)</f>
        <v>0</v>
      </c>
      <c r="N4" s="77" t="str">
        <f>IF(TableQCalcMain[[#This Row],[RowNumOfShownItems_Unsplit]]&lt;&gt;"",INDEX(TableQCalcMain[Description],TableQCalcMain[[#This Row],[RowNumOfShownItems_Unsplit]]),"")</f>
        <v/>
      </c>
      <c r="O4" s="66" t="str">
        <f>IF(TableQCalcMain[[#This Row],[RowNumOfShownItems_Unsplit]]&lt;&gt;"",INDEX(TableQCalcMain[Harmonized_Code],TableQCalcMain[[#This Row],[RowNumOfShownItems_Unsplit]]),"")</f>
        <v/>
      </c>
      <c r="P4" s="66" t="str">
        <f>IF(TableQCalcMain[[#This Row],[RowNumOfShownItems_Unsplit]]="","",INDEX(TableQCalcMain[Detailed_Ext_Price],TableQCalcMain[[#This Row],[RowNumOfShownItems_Unsplit]]))</f>
        <v/>
      </c>
      <c r="Q4" s="66" t="str">
        <f>IF(TableQCalcMain[[#This Row],[RowNumOfShownItems_Unsplit]]="","",INDEX(TableQCalcMain[Real_Quantity],TableQCalcMain[[#This Row],[RowNumOfShownItems_Unsplit]]))</f>
        <v/>
      </c>
      <c r="R4" s="66" t="str">
        <f>IF(TableQCalcMain[[#This Row],[RowNumOfShownItems_Unsplit]]="","",
IF(IFERROR(
INDEX(TableQCalcMain[Unit_Price],TableQCalcMain[[#This Row],[RowNumOfShownItems_Unsplit]]),0)=0,"",
INDEX(TableQCalcMain[Unit_Price],TableQCalcMain[[#This Row],[RowNumOfShownItems_Unsplit]])
))</f>
        <v/>
      </c>
      <c r="S4" s="66" t="str">
        <f>IF(TableQCalcMain[[#This Row],[RowNumOfShownItems_Unsplit]]="","",
IF(IFERROR(
INDEX(TableQCalcMain[Extended_price],TableQCalcMain[[#This Row],[RowNumOfShownItems_Unsplit]]),0)=0,"",
INDEX(TableQCalcMain[Extended_price],TableQCalcMain[[#This Row],[RowNumOfShownItems_Unsplit]])
))</f>
        <v/>
      </c>
      <c r="T4" t="str">
        <f t="array" ref="T4">IFERROR(MATCH(0,COUNTIF(N$2:$N3,TableQCalcMain[Description])+IF(TableQCalcMain[ShowDesc?]=0,1,0),0),"")</f>
        <v/>
      </c>
      <c r="U4" s="66" t="str">
        <f>IF(TableQCalcMain[[#This Row],[RowNumOfShownItems_SOFT]]&lt;&gt;"",INDEX(TableQCalcMain[Description],TableQCalcMain[[#This Row],[RowNumOfShownItems_SOFT]]),"")</f>
        <v/>
      </c>
      <c r="V4" s="66" t="str">
        <f>IF(TableQCalcMain[[#This Row],[RowNumOfShownItems_SOFT]]&lt;&gt;"",INDEX(TableQCalcMain[Harmonized_Code],TableQCalcMain[[#This Row],[RowNumOfShownItems_SOFT]]),"")</f>
        <v/>
      </c>
      <c r="W4" s="66" t="str">
        <f>IF(TableQCalcMain[[#This Row],[RowNumOfShownItems_SOFT]]="","",INDEX(TableQCalcMain[Detailed_Ext_Price],TableQCalcMain[[#This Row],[RowNumOfShownItems_SOFT]]))</f>
        <v/>
      </c>
      <c r="X4" s="66" t="str">
        <f>IF(TableQCalcMain[[#This Row],[RowNumOfShownItems_SOFT]]="","",INDEX(TableQCalcMain[Real_Quantity],TableQCalcMain[[#This Row],[RowNumOfShownItems_SOFT]]))</f>
        <v/>
      </c>
      <c r="Y4" s="66" t="str">
        <f>IF(TableQCalcMain[[#This Row],[RowNumOfShownItems_SOFT]]="","",INDEX(TableQCalcMain[Unit_Price],TableQCalcMain[[#This Row],[RowNumOfShownItems_SOFT]]))</f>
        <v/>
      </c>
      <c r="Z4" s="66" t="str">
        <f>IF(TableQCalcMain[[#This Row],[RowNumOfShownItems_SOFT]]="","",INDEX(TableQCalcMain[Extended_price],TableQCalcMain[[#This Row],[RowNumOfShownItems_SOFT]]))</f>
        <v/>
      </c>
      <c r="AA4" t="str">
        <f t="array" ref="AA4">IFERROR(MATCH(0,COUNTIF(U$2:$U3,TableQCalcMain[Description])+IF(TableQCalcMain[ShowSoft]=0,1,0),0),"")</f>
        <v/>
      </c>
      <c r="AB4" s="66" t="str">
        <f>IF(TableQCalcMain[[#This Row],[RowNumOfShownItems_Hard]]&lt;&gt;"",INDEX(TableQCalcMain[Description],TableQCalcMain[[#This Row],[RowNumOfShownItems_Hard]]),"")</f>
        <v/>
      </c>
      <c r="AC4" s="66" t="str">
        <f>IF(TableQCalcMain[[#This Row],[RowNumOfShownItems_Hard]]&lt;&gt;"",INDEX(TableQCalcMain[Harmonized_Code],TableQCalcMain[[#This Row],[RowNumOfShownItems_Hard]]),"")</f>
        <v/>
      </c>
      <c r="AD4" s="66" t="str">
        <f>IF(TableQCalcMain[[#This Row],[RowNumOfShownItems_Hard]]="","",INDEX(TableQCalcMain[Detailed_Ext_Price],TableQCalcMain[[#This Row],[RowNumOfShownItems_Hard]]))</f>
        <v/>
      </c>
      <c r="AE4" s="66" t="str">
        <f>IF(TableQCalcMain[[#This Row],[RowNumOfShownItems_Hard]]="","",INDEX(TableQCalcMain[Real_Quantity],TableQCalcMain[[#This Row],[RowNumOfShownItems_Hard]]))</f>
        <v/>
      </c>
      <c r="AF4" s="66" t="str">
        <f>IF(TableQCalcMain[[#This Row],[RowNumOfShownItems_Hard]]="","",
IF(IFERROR(
INDEX(TableQCalcMain[Unit_Price],TableQCalcMain[[#This Row],[RowNumOfShownItems_Hard]]),0)=0,"",
INDEX(TableQCalcMain[Unit_Price],TableQCalcMain[[#This Row],[RowNumOfShownItems_Hard]])
))</f>
        <v/>
      </c>
      <c r="AG4" s="66" t="str">
        <f>IF(TableQCalcMain[[#This Row],[RowNumOfShownItems_Hard]]="","",
IF(IFERROR(
INDEX(TableQCalcMain[Extended_price],TableQCalcMain[[#This Row],[RowNumOfShownItems_Hard]]),0)=0,"",
INDEX(TableQCalcMain[Extended_price],TableQCalcMain[[#This Row],[RowNumOfShownItems_Hard]])
))</f>
        <v/>
      </c>
      <c r="AH4" s="66" t="str">
        <f t="array" ref="AH4">IFERROR(MATCH(0,COUNTIF(AB$2:$AB3,TableQCalcMain[Description])+IF(TableQCalcMain[ShowHard]=0,1,0),0),"")</f>
        <v/>
      </c>
    </row>
    <row r="5" spans="2:37" x14ac:dyDescent="0.2">
      <c r="B5" s="710" t="s">
        <v>771</v>
      </c>
      <c r="C5" s="712" t="str">
        <f>""</f>
        <v/>
      </c>
      <c r="D5" s="712" t="e">
        <f>IF(AND(
C3&lt;&gt;0,C4=0,
NOT(QUOTE_Split_SoftwareHardware),
WinDENDRO!#REF!&gt;0
),C13,0)+N("Si il y a un système sans software (update only) et que facture est pas split, afficher UpgradeUpdate en tant que Software dans système")</f>
        <v>#REF!</v>
      </c>
      <c r="E5" s="66"/>
      <c r="F5" s="66"/>
      <c r="G5" s="66"/>
      <c r="H5" s="66"/>
      <c r="I5" s="710" t="e">
        <f>"   • " &amp; I13</f>
        <v>#REF!</v>
      </c>
      <c r="J5" s="710">
        <f>J13</f>
        <v>852349</v>
      </c>
      <c r="K5" s="710" t="e">
        <f>IF(TableQCalcMain[[#This Row],[ShowDesc?]]=0,0,M13)</f>
        <v>#REF!</v>
      </c>
      <c r="L5" s="66"/>
      <c r="M5" s="66"/>
      <c r="N5" s="77" t="str">
        <f>IF(TableQCalcMain[[#This Row],[RowNumOfShownItems_Unsplit]]&lt;&gt;"",INDEX(TableQCalcMain[Description],TableQCalcMain[[#This Row],[RowNumOfShownItems_Unsplit]]),"")</f>
        <v/>
      </c>
      <c r="O5" s="66" t="str">
        <f>IF(TableQCalcMain[[#This Row],[RowNumOfShownItems_Unsplit]]&lt;&gt;"",INDEX(TableQCalcMain[Harmonized_Code],TableQCalcMain[[#This Row],[RowNumOfShownItems_Unsplit]]),"")</f>
        <v/>
      </c>
      <c r="P5" s="66" t="str">
        <f>IF(TableQCalcMain[[#This Row],[RowNumOfShownItems_Unsplit]]="","",INDEX(TableQCalcMain[Detailed_Ext_Price],TableQCalcMain[[#This Row],[RowNumOfShownItems_Unsplit]]))</f>
        <v/>
      </c>
      <c r="Q5" s="66" t="str">
        <f>IF(TableQCalcMain[[#This Row],[RowNumOfShownItems_Unsplit]]="","",INDEX(TableQCalcMain[Real_Quantity],TableQCalcMain[[#This Row],[RowNumOfShownItems_Unsplit]]))</f>
        <v/>
      </c>
      <c r="R5" s="66" t="str">
        <f>IF(TableQCalcMain[[#This Row],[RowNumOfShownItems_Unsplit]]="","",
IF(IFERROR(
INDEX(TableQCalcMain[Unit_Price],TableQCalcMain[[#This Row],[RowNumOfShownItems_Unsplit]]),0)=0,"",
INDEX(TableQCalcMain[Unit_Price],TableQCalcMain[[#This Row],[RowNumOfShownItems_Unsplit]])
))</f>
        <v/>
      </c>
      <c r="S5" s="66" t="str">
        <f>IF(TableQCalcMain[[#This Row],[RowNumOfShownItems_Unsplit]]="","",
IF(IFERROR(
INDEX(TableQCalcMain[Extended_price],TableQCalcMain[[#This Row],[RowNumOfShownItems_Unsplit]]),0)=0,"",
INDEX(TableQCalcMain[Extended_price],TableQCalcMain[[#This Row],[RowNumOfShownItems_Unsplit]])
))</f>
        <v/>
      </c>
      <c r="T5" t="str">
        <f t="array" ref="T5">IFERROR(MATCH(0,COUNTIF(N$2:$N4,TableQCalcMain[Description])+IF(TableQCalcMain[ShowDesc?]=0,1,0),0),"")</f>
        <v/>
      </c>
      <c r="U5" s="66" t="str">
        <f>IF(TableQCalcMain[[#This Row],[RowNumOfShownItems_SOFT]]&lt;&gt;"",INDEX(TableQCalcMain[Description],TableQCalcMain[[#This Row],[RowNumOfShownItems_SOFT]]),"")</f>
        <v/>
      </c>
      <c r="V5" s="66" t="str">
        <f>IF(TableQCalcMain[[#This Row],[RowNumOfShownItems_SOFT]]&lt;&gt;"",INDEX(TableQCalcMain[Harmonized_Code],TableQCalcMain[[#This Row],[RowNumOfShownItems_SOFT]]),"")</f>
        <v/>
      </c>
      <c r="W5" s="66" t="str">
        <f>IF(TableQCalcMain[[#This Row],[RowNumOfShownItems_SOFT]]="","",INDEX(TableQCalcMain[Detailed_Ext_Price],TableQCalcMain[[#This Row],[RowNumOfShownItems_SOFT]]))</f>
        <v/>
      </c>
      <c r="X5" s="66" t="str">
        <f>IF(TableQCalcMain[[#This Row],[RowNumOfShownItems_SOFT]]="","",INDEX(TableQCalcMain[Real_Quantity],TableQCalcMain[[#This Row],[RowNumOfShownItems_SOFT]]))</f>
        <v/>
      </c>
      <c r="Y5" s="66" t="str">
        <f>IF(TableQCalcMain[[#This Row],[RowNumOfShownItems_SOFT]]="","",INDEX(TableQCalcMain[Unit_Price],TableQCalcMain[[#This Row],[RowNumOfShownItems_SOFT]]))</f>
        <v/>
      </c>
      <c r="Z5" s="66" t="str">
        <f>IF(TableQCalcMain[[#This Row],[RowNumOfShownItems_SOFT]]="","",INDEX(TableQCalcMain[Extended_price],TableQCalcMain[[#This Row],[RowNumOfShownItems_SOFT]]))</f>
        <v/>
      </c>
      <c r="AA5" t="str">
        <f t="array" ref="AA5">IFERROR(MATCH(0,COUNTIF(U$2:$U4,TableQCalcMain[Description])+IF(TableQCalcMain[ShowSoft]=0,1,0),0),"")</f>
        <v/>
      </c>
      <c r="AB5" s="66" t="str">
        <f>IF(TableQCalcMain[[#This Row],[RowNumOfShownItems_Hard]]&lt;&gt;"",INDEX(TableQCalcMain[Description],TableQCalcMain[[#This Row],[RowNumOfShownItems_Hard]]),"")</f>
        <v/>
      </c>
      <c r="AC5" s="66" t="str">
        <f>IF(TableQCalcMain[[#This Row],[RowNumOfShownItems_Hard]]&lt;&gt;"",INDEX(TableQCalcMain[Harmonized_Code],TableQCalcMain[[#This Row],[RowNumOfShownItems_Hard]]),"")</f>
        <v/>
      </c>
      <c r="AD5" s="66" t="str">
        <f>IF(TableQCalcMain[[#This Row],[RowNumOfShownItems_Hard]]="","",INDEX(TableQCalcMain[Detailed_Ext_Price],TableQCalcMain[[#This Row],[RowNumOfShownItems_Hard]]))</f>
        <v/>
      </c>
      <c r="AE5" s="66" t="str">
        <f>IF(TableQCalcMain[[#This Row],[RowNumOfShownItems_Hard]]="","",INDEX(TableQCalcMain[Real_Quantity],TableQCalcMain[[#This Row],[RowNumOfShownItems_Hard]]))</f>
        <v/>
      </c>
      <c r="AF5" s="66" t="str">
        <f>IF(TableQCalcMain[[#This Row],[RowNumOfShownItems_Hard]]="","",
IF(IFERROR(
INDEX(TableQCalcMain[Unit_Price],TableQCalcMain[[#This Row],[RowNumOfShownItems_Hard]]),0)=0,"",
INDEX(TableQCalcMain[Unit_Price],TableQCalcMain[[#This Row],[RowNumOfShownItems_Hard]])
))</f>
        <v/>
      </c>
      <c r="AG5" s="66" t="str">
        <f>IF(TableQCalcMain[[#This Row],[RowNumOfShownItems_Hard]]="","",
IF(IFERROR(
INDEX(TableQCalcMain[Extended_price],TableQCalcMain[[#This Row],[RowNumOfShownItems_Hard]]),0)=0,"",
INDEX(TableQCalcMain[Extended_price],TableQCalcMain[[#This Row],[RowNumOfShownItems_Hard]])
))</f>
        <v/>
      </c>
      <c r="AH5" s="66" t="str">
        <f t="array" ref="AH5">IFERROR(MATCH(0,COUNTIF(AB$2:$AB4,TableQCalcMain[Description])+IF(TableQCalcMain[ShowHard]=0,1,0),0),"")</f>
        <v/>
      </c>
    </row>
    <row r="6" spans="2:37" x14ac:dyDescent="0.2">
      <c r="B6" s="608" t="s">
        <v>339</v>
      </c>
      <c r="C6" s="66" t="str">
        <f>""</f>
        <v/>
      </c>
      <c r="D6" s="66">
        <f>IF(QUOTE_Split_SoftwareHardware,N($C$4),0)</f>
        <v>0</v>
      </c>
      <c r="E6" s="66">
        <v>1</v>
      </c>
      <c r="F6" s="66"/>
      <c r="G6" s="66">
        <f>TableQCalcMain[[#This Row],[ShowDesc?]]*TableQCalcMain[[#This Row],[Software]]</f>
        <v>0</v>
      </c>
      <c r="H6" s="66"/>
      <c r="I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",0)</f>
        <v xml:space="preserve">         • Software &amp; Instructions documents (PDF &amp; printed)</v>
      </c>
      <c r="J6" s="66" t="str">
        <f>""</f>
        <v/>
      </c>
      <c r="K6" s="66" t="str">
        <f>""</f>
        <v/>
      </c>
      <c r="L6" s="66" t="str">
        <f>""</f>
        <v/>
      </c>
      <c r="M6" s="66" t="str">
        <f>""</f>
        <v/>
      </c>
      <c r="N6" s="77" t="str">
        <f>IF(TableQCalcMain[[#This Row],[RowNumOfShownItems_Unsplit]]&lt;&gt;"",INDEX(TableQCalcMain[Description],TableQCalcMain[[#This Row],[RowNumOfShownItems_Unsplit]]),"")</f>
        <v/>
      </c>
      <c r="O6" s="66" t="str">
        <f>IF(TableQCalcMain[[#This Row],[RowNumOfShownItems_Unsplit]]&lt;&gt;"",INDEX(TableQCalcMain[Harmonized_Code],TableQCalcMain[[#This Row],[RowNumOfShownItems_Unsplit]]),"")</f>
        <v/>
      </c>
      <c r="P6" s="66" t="str">
        <f>IF(TableQCalcMain[[#This Row],[RowNumOfShownItems_Unsplit]]="","",INDEX(TableQCalcMain[Detailed_Ext_Price],TableQCalcMain[[#This Row],[RowNumOfShownItems_Unsplit]]))</f>
        <v/>
      </c>
      <c r="Q6" s="66" t="str">
        <f>IF(TableQCalcMain[[#This Row],[RowNumOfShownItems_Unsplit]]="","",INDEX(TableQCalcMain[Real_Quantity],TableQCalcMain[[#This Row],[RowNumOfShownItems_Unsplit]]))</f>
        <v/>
      </c>
      <c r="R6" s="66" t="str">
        <f>IF(TableQCalcMain[[#This Row],[RowNumOfShownItems_Unsplit]]="","",
IF(IFERROR(
INDEX(TableQCalcMain[Unit_Price],TableQCalcMain[[#This Row],[RowNumOfShownItems_Unsplit]]),0)=0,"",
INDEX(TableQCalcMain[Unit_Price],TableQCalcMain[[#This Row],[RowNumOfShownItems_Unsplit]])
))</f>
        <v/>
      </c>
      <c r="S6" s="66" t="str">
        <f>IF(TableQCalcMain[[#This Row],[RowNumOfShownItems_Unsplit]]="","",
IF(IFERROR(
INDEX(TableQCalcMain[Extended_price],TableQCalcMain[[#This Row],[RowNumOfShownItems_Unsplit]]),0)=0,"",
INDEX(TableQCalcMain[Extended_price],TableQCalcMain[[#This Row],[RowNumOfShownItems_Unsplit]])
))</f>
        <v/>
      </c>
      <c r="T6" t="str">
        <f t="array" ref="T6">IFERROR(MATCH(0,COUNTIF(N$2:$N5,TableQCalcMain[Description])+IF(TableQCalcMain[ShowDesc?]=0,1,0),0),"")</f>
        <v/>
      </c>
      <c r="U6" s="66" t="str">
        <f>IF(TableQCalcMain[[#This Row],[RowNumOfShownItems_SOFT]]&lt;&gt;"",INDEX(TableQCalcMain[Description],TableQCalcMain[[#This Row],[RowNumOfShownItems_SOFT]]),"")</f>
        <v/>
      </c>
      <c r="V6" s="66" t="str">
        <f>IF(TableQCalcMain[[#This Row],[RowNumOfShownItems_SOFT]]&lt;&gt;"",INDEX(TableQCalcMain[Harmonized_Code],TableQCalcMain[[#This Row],[RowNumOfShownItems_SOFT]]),"")</f>
        <v/>
      </c>
      <c r="W6" s="66" t="str">
        <f>IF(TableQCalcMain[[#This Row],[RowNumOfShownItems_SOFT]]="","",INDEX(TableQCalcMain[Detailed_Ext_Price],TableQCalcMain[[#This Row],[RowNumOfShownItems_SOFT]]))</f>
        <v/>
      </c>
      <c r="X6" s="66" t="str">
        <f>IF(TableQCalcMain[[#This Row],[RowNumOfShownItems_SOFT]]="","",INDEX(TableQCalcMain[Real_Quantity],TableQCalcMain[[#This Row],[RowNumOfShownItems_SOFT]]))</f>
        <v/>
      </c>
      <c r="Y6" s="66" t="str">
        <f>IF(TableQCalcMain[[#This Row],[RowNumOfShownItems_SOFT]]="","",INDEX(TableQCalcMain[Unit_Price],TableQCalcMain[[#This Row],[RowNumOfShownItems_SOFT]]))</f>
        <v/>
      </c>
      <c r="Z6" s="66" t="str">
        <f>IF(TableQCalcMain[[#This Row],[RowNumOfShownItems_SOFT]]="","",INDEX(TableQCalcMain[Extended_price],TableQCalcMain[[#This Row],[RowNumOfShownItems_SOFT]]))</f>
        <v/>
      </c>
      <c r="AA6" t="str">
        <f t="array" ref="AA6">IFERROR(MATCH(0,COUNTIF(U$2:$U5,TableQCalcMain[Description])+IF(TableQCalcMain[ShowSoft]=0,1,0),0),"")</f>
        <v/>
      </c>
      <c r="AB6" s="66" t="str">
        <f>IF(TableQCalcMain[[#This Row],[RowNumOfShownItems_Hard]]&lt;&gt;"",INDEX(TableQCalcMain[Description],TableQCalcMain[[#This Row],[RowNumOfShownItems_Hard]]),"")</f>
        <v/>
      </c>
      <c r="AC6" s="66" t="str">
        <f>IF(TableQCalcMain[[#This Row],[RowNumOfShownItems_Hard]]&lt;&gt;"",INDEX(TableQCalcMain[Harmonized_Code],TableQCalcMain[[#This Row],[RowNumOfShownItems_Hard]]),"")</f>
        <v/>
      </c>
      <c r="AD6" s="66" t="str">
        <f>IF(TableQCalcMain[[#This Row],[RowNumOfShownItems_Hard]]="","",INDEX(TableQCalcMain[Detailed_Ext_Price],TableQCalcMain[[#This Row],[RowNumOfShownItems_Hard]]))</f>
        <v/>
      </c>
      <c r="AE6" s="66" t="str">
        <f>IF(TableQCalcMain[[#This Row],[RowNumOfShownItems_Hard]]="","",INDEX(TableQCalcMain[Real_Quantity],TableQCalcMain[[#This Row],[RowNumOfShownItems_Hard]]))</f>
        <v/>
      </c>
      <c r="AF6" s="66" t="str">
        <f>IF(TableQCalcMain[[#This Row],[RowNumOfShownItems_Hard]]="","",
IF(IFERROR(
INDEX(TableQCalcMain[Unit_Price],TableQCalcMain[[#This Row],[RowNumOfShownItems_Hard]]),0)=0,"",
INDEX(TableQCalcMain[Unit_Price],TableQCalcMain[[#This Row],[RowNumOfShownItems_Hard]])
))</f>
        <v/>
      </c>
      <c r="AG6" s="66" t="str">
        <f>IF(TableQCalcMain[[#This Row],[RowNumOfShownItems_Hard]]="","",
IF(IFERROR(
INDEX(TableQCalcMain[Extended_price],TableQCalcMain[[#This Row],[RowNumOfShownItems_Hard]]),0)=0,"",
INDEX(TableQCalcMain[Extended_price],TableQCalcMain[[#This Row],[RowNumOfShownItems_Hard]])
))</f>
        <v/>
      </c>
      <c r="AH6" s="66" t="str">
        <f t="array" ref="AH6">IFERROR(MATCH(0,COUNTIF(AB$2:$AB5,TableQCalcMain[Description])+IF(TableQCalcMain[ShowHard]=0,1,0),0),"")</f>
        <v/>
      </c>
    </row>
    <row r="7" spans="2:37" x14ac:dyDescent="0.2">
      <c r="B7" s="66" t="s">
        <v>57</v>
      </c>
      <c r="C7" s="66">
        <f>DENDRO_OptionXL*(DENDRO_N_Software-1)</f>
        <v>0</v>
      </c>
      <c r="D7" s="66">
        <f>0*DENDRO_OptionXL*(DENDRO_N_Software-1)</f>
        <v>0</v>
      </c>
      <c r="E7" s="66">
        <v>1</v>
      </c>
      <c r="F7" s="66"/>
      <c r="G7" s="66">
        <f>TableQCalcMain[[#This Row],[ShowDesc?]]*TableQCalcMain[[#This Row],[Software]]</f>
        <v>0</v>
      </c>
      <c r="H7" s="66">
        <f>TableQCalcMain[[#This Row],[ShowDesc?]]*TableQCalcMain[[#This Row],[Hardware]]</f>
        <v>0</v>
      </c>
      <c r="I7" s="66" t="str">
        <f>IF(DENDRO_N_System=1,"","   • ")&amp;IF(Francais,"XLSTEM Logiciel d'analyse de tige","XLSTEM Software for Stem Analysis")</f>
        <v>XLSTEM Software for Stem Analysis</v>
      </c>
      <c r="J7" s="66" t="str">
        <f>""</f>
        <v/>
      </c>
      <c r="K7" s="66" t="s">
        <v>171</v>
      </c>
      <c r="L7" s="66" t="str">
        <f>""</f>
        <v/>
      </c>
      <c r="M7" s="66" t="str">
        <f>""</f>
        <v/>
      </c>
      <c r="N7" s="77" t="str">
        <f>IF(TableQCalcMain[[#This Row],[RowNumOfShownItems_Unsplit]]&lt;&gt;"",INDEX(TableQCalcMain[Description],TableQCalcMain[[#This Row],[RowNumOfShownItems_Unsplit]]),"")</f>
        <v/>
      </c>
      <c r="O7" s="66" t="str">
        <f>IF(TableQCalcMain[[#This Row],[RowNumOfShownItems_Unsplit]]&lt;&gt;"",INDEX(TableQCalcMain[Harmonized_Code],TableQCalcMain[[#This Row],[RowNumOfShownItems_Unsplit]]),"")</f>
        <v/>
      </c>
      <c r="P7" s="66" t="str">
        <f>IF(TableQCalcMain[[#This Row],[RowNumOfShownItems_Unsplit]]="","",INDEX(TableQCalcMain[Detailed_Ext_Price],TableQCalcMain[[#This Row],[RowNumOfShownItems_Unsplit]]))</f>
        <v/>
      </c>
      <c r="Q7" s="66" t="str">
        <f>IF(TableQCalcMain[[#This Row],[RowNumOfShownItems_Unsplit]]="","",INDEX(TableQCalcMain[Real_Quantity],TableQCalcMain[[#This Row],[RowNumOfShownItems_Unsplit]]))</f>
        <v/>
      </c>
      <c r="R7" s="66" t="str">
        <f>IF(TableQCalcMain[[#This Row],[RowNumOfShownItems_Unsplit]]="","",
IF(IFERROR(
INDEX(TableQCalcMain[Unit_Price],TableQCalcMain[[#This Row],[RowNumOfShownItems_Unsplit]]),0)=0,"",
INDEX(TableQCalcMain[Unit_Price],TableQCalcMain[[#This Row],[RowNumOfShownItems_Unsplit]])
))</f>
        <v/>
      </c>
      <c r="S7" s="66" t="str">
        <f>IF(TableQCalcMain[[#This Row],[RowNumOfShownItems_Unsplit]]="","",
IF(IFERROR(
INDEX(TableQCalcMain[Extended_price],TableQCalcMain[[#This Row],[RowNumOfShownItems_Unsplit]]),0)=0,"",
INDEX(TableQCalcMain[Extended_price],TableQCalcMain[[#This Row],[RowNumOfShownItems_Unsplit]])
))</f>
        <v/>
      </c>
      <c r="T7" t="str">
        <f t="array" ref="T7">IFERROR(MATCH(0,COUNTIF(N$2:$N6,TableQCalcMain[Description])+IF(TableQCalcMain[ShowDesc?]=0,1,0),0),"")</f>
        <v/>
      </c>
      <c r="U7" s="66" t="str">
        <f>IF(TableQCalcMain[[#This Row],[RowNumOfShownItems_SOFT]]&lt;&gt;"",INDEX(TableQCalcMain[Description],TableQCalcMain[[#This Row],[RowNumOfShownItems_SOFT]]),"")</f>
        <v/>
      </c>
      <c r="V7" s="66" t="str">
        <f>IF(TableQCalcMain[[#This Row],[RowNumOfShownItems_SOFT]]&lt;&gt;"",INDEX(TableQCalcMain[Harmonized_Code],TableQCalcMain[[#This Row],[RowNumOfShownItems_SOFT]]),"")</f>
        <v/>
      </c>
      <c r="W7" s="66" t="str">
        <f>IF(TableQCalcMain[[#This Row],[RowNumOfShownItems_SOFT]]="","",INDEX(TableQCalcMain[Detailed_Ext_Price],TableQCalcMain[[#This Row],[RowNumOfShownItems_SOFT]]))</f>
        <v/>
      </c>
      <c r="X7" s="66" t="str">
        <f>IF(TableQCalcMain[[#This Row],[RowNumOfShownItems_SOFT]]="","",INDEX(TableQCalcMain[Real_Quantity],TableQCalcMain[[#This Row],[RowNumOfShownItems_SOFT]]))</f>
        <v/>
      </c>
      <c r="Y7" s="66" t="str">
        <f>IF(TableQCalcMain[[#This Row],[RowNumOfShownItems_SOFT]]="","",INDEX(TableQCalcMain[Unit_Price],TableQCalcMain[[#This Row],[RowNumOfShownItems_SOFT]]))</f>
        <v/>
      </c>
      <c r="Z7" s="66" t="str">
        <f>IF(TableQCalcMain[[#This Row],[RowNumOfShownItems_SOFT]]="","",INDEX(TableQCalcMain[Extended_price],TableQCalcMain[[#This Row],[RowNumOfShownItems_SOFT]]))</f>
        <v/>
      </c>
      <c r="AA7" t="str">
        <f t="array" ref="AA7">IFERROR(MATCH(0,COUNTIF(U$2:$U6,TableQCalcMain[Description])+IF(TableQCalcMain[ShowSoft]=0,1,0),0),"")</f>
        <v/>
      </c>
      <c r="AB7" s="66" t="str">
        <f>IF(TableQCalcMain[[#This Row],[RowNumOfShownItems_Hard]]&lt;&gt;"",INDEX(TableQCalcMain[Description],TableQCalcMain[[#This Row],[RowNumOfShownItems_Hard]]),"")</f>
        <v/>
      </c>
      <c r="AC7" s="66" t="str">
        <f>IF(TableQCalcMain[[#This Row],[RowNumOfShownItems_Hard]]&lt;&gt;"",INDEX(TableQCalcMain[Harmonized_Code],TableQCalcMain[[#This Row],[RowNumOfShownItems_Hard]]),"")</f>
        <v/>
      </c>
      <c r="AD7" s="66" t="str">
        <f>IF(TableQCalcMain[[#This Row],[RowNumOfShownItems_Hard]]="","",INDEX(TableQCalcMain[Detailed_Ext_Price],TableQCalcMain[[#This Row],[RowNumOfShownItems_Hard]]))</f>
        <v/>
      </c>
      <c r="AE7" s="66" t="str">
        <f>IF(TableQCalcMain[[#This Row],[RowNumOfShownItems_Hard]]="","",INDEX(TableQCalcMain[Real_Quantity],TableQCalcMain[[#This Row],[RowNumOfShownItems_Hard]]))</f>
        <v/>
      </c>
      <c r="AF7" s="66" t="str">
        <f>IF(TableQCalcMain[[#This Row],[RowNumOfShownItems_Hard]]="","",
IF(IFERROR(
INDEX(TableQCalcMain[Unit_Price],TableQCalcMain[[#This Row],[RowNumOfShownItems_Hard]]),0)=0,"",
INDEX(TableQCalcMain[Unit_Price],TableQCalcMain[[#This Row],[RowNumOfShownItems_Hard]])
))</f>
        <v/>
      </c>
      <c r="AG7" s="66" t="str">
        <f>IF(TableQCalcMain[[#This Row],[RowNumOfShownItems_Hard]]="","",
IF(IFERROR(
INDEX(TableQCalcMain[Extended_price],TableQCalcMain[[#This Row],[RowNumOfShownItems_Hard]]),0)=0,"",
INDEX(TableQCalcMain[Extended_price],TableQCalcMain[[#This Row],[RowNumOfShownItems_Hard]])
))</f>
        <v/>
      </c>
      <c r="AH7" s="66" t="str">
        <f t="array" ref="AH7">IFERROR(MATCH(0,COUNTIF(AB$2:$AB6,TableQCalcMain[Description])+IF(TableQCalcMain[ShowHard]=0,1,0),0),"")</f>
        <v/>
      </c>
    </row>
    <row r="8" spans="2:37" x14ac:dyDescent="0.2">
      <c r="B8" s="66" t="s">
        <v>331</v>
      </c>
      <c r="C8" s="66">
        <f>N($C$4)+N($C$13)</f>
        <v>0</v>
      </c>
      <c r="D8" s="66">
        <f>IF(AND(QUOTE_Split_SoftwareHardware,TableQCalcMain[[#This Row],[Real_Quantity]]&gt;0),1,0)</f>
        <v>0</v>
      </c>
      <c r="E8" s="66">
        <f>IF(QUOTE_InternetDownload,0,1)</f>
        <v>1</v>
      </c>
      <c r="F8" s="66">
        <f>IF(QUOTE_InternetDownload,1,0)</f>
        <v>0</v>
      </c>
      <c r="G8" s="66">
        <f>TableQCalcMain[[#This Row],[ShowDesc?]]*TableQCalcMain[[#This Row],[Software]]</f>
        <v>0</v>
      </c>
      <c r="H8" s="66">
        <f>TableQCalcMain[[#This Row],[ShowDesc?]]*TableQCalcMain[[#This Row],[Hardware]]</f>
        <v>0</v>
      </c>
      <c r="I8"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WinDENDRO</v>
      </c>
      <c r="J8" s="66">
        <v>852351</v>
      </c>
      <c r="K8" s="66">
        <f>TableQCalcMain[[#This Row],[Extended_price]]</f>
        <v>0</v>
      </c>
      <c r="L8" s="66" t="str">
        <f>IF(OR(TableQCalcMain[[#This Row],[Real_Quantity]]=0,TableQCalcMain[[#This Row],[Extended_price]]=0),"",ROUND(TableQCalcMain[[#This Row],[Extended_price]]/TableQCalcMain[[#This Row],[Real_Quantity]],2))</f>
        <v/>
      </c>
      <c r="M8" s="66">
        <f>PrixUSBKey*TableQCalcMain[[#This Row],[Real_Quantity]]</f>
        <v>0</v>
      </c>
      <c r="N8" s="77" t="str">
        <f>IF(TableQCalcMain[[#This Row],[RowNumOfShownItems_Unsplit]]&lt;&gt;"",INDEX(TableQCalcMain[Description],TableQCalcMain[[#This Row],[RowNumOfShownItems_Unsplit]]),"")</f>
        <v/>
      </c>
      <c r="O8" s="66" t="str">
        <f>IF(TableQCalcMain[[#This Row],[RowNumOfShownItems_Unsplit]]&lt;&gt;"",INDEX(TableQCalcMain[Harmonized_Code],TableQCalcMain[[#This Row],[RowNumOfShownItems_Unsplit]]),"")</f>
        <v/>
      </c>
      <c r="P8" s="66" t="str">
        <f>IF(TableQCalcMain[[#This Row],[RowNumOfShownItems_Unsplit]]="","",INDEX(TableQCalcMain[Detailed_Ext_Price],TableQCalcMain[[#This Row],[RowNumOfShownItems_Unsplit]]))</f>
        <v/>
      </c>
      <c r="Q8" s="66" t="str">
        <f>IF(TableQCalcMain[[#This Row],[RowNumOfShownItems_Unsplit]]="","",INDEX(TableQCalcMain[Real_Quantity],TableQCalcMain[[#This Row],[RowNumOfShownItems_Unsplit]]))</f>
        <v/>
      </c>
      <c r="R8" s="66" t="str">
        <f>IF(TableQCalcMain[[#This Row],[RowNumOfShownItems_Unsplit]]="","",
IF(IFERROR(
INDEX(TableQCalcMain[Unit_Price],TableQCalcMain[[#This Row],[RowNumOfShownItems_Unsplit]]),0)=0,"",
INDEX(TableQCalcMain[Unit_Price],TableQCalcMain[[#This Row],[RowNumOfShownItems_Unsplit]])
))</f>
        <v/>
      </c>
      <c r="S8" s="66" t="str">
        <f>IF(TableQCalcMain[[#This Row],[RowNumOfShownItems_Unsplit]]="","",
IF(IFERROR(
INDEX(TableQCalcMain[Extended_price],TableQCalcMain[[#This Row],[RowNumOfShownItems_Unsplit]]),0)=0,"",
INDEX(TableQCalcMain[Extended_price],TableQCalcMain[[#This Row],[RowNumOfShownItems_Unsplit]])
))</f>
        <v/>
      </c>
      <c r="T8" t="str">
        <f t="array" ref="T8">IFERROR(MATCH(0,COUNTIF(N$2:$N7,TableQCalcMain[Description])+IF(TableQCalcMain[ShowDesc?]=0,1,0),0),"")</f>
        <v/>
      </c>
      <c r="U8" s="66" t="str">
        <f>IF(TableQCalcMain[[#This Row],[RowNumOfShownItems_SOFT]]&lt;&gt;"",INDEX(TableQCalcMain[Description],TableQCalcMain[[#This Row],[RowNumOfShownItems_SOFT]]),"")</f>
        <v/>
      </c>
      <c r="V8" s="66" t="str">
        <f>IF(TableQCalcMain[[#This Row],[RowNumOfShownItems_SOFT]]&lt;&gt;"",INDEX(TableQCalcMain[Harmonized_Code],TableQCalcMain[[#This Row],[RowNumOfShownItems_SOFT]]),"")</f>
        <v/>
      </c>
      <c r="W8" s="66" t="str">
        <f>IF(TableQCalcMain[[#This Row],[RowNumOfShownItems_SOFT]]="","",INDEX(TableQCalcMain[Detailed_Ext_Price],TableQCalcMain[[#This Row],[RowNumOfShownItems_SOFT]]))</f>
        <v/>
      </c>
      <c r="X8" s="66" t="str">
        <f>IF(TableQCalcMain[[#This Row],[RowNumOfShownItems_SOFT]]="","",INDEX(TableQCalcMain[Real_Quantity],TableQCalcMain[[#This Row],[RowNumOfShownItems_SOFT]]))</f>
        <v/>
      </c>
      <c r="Y8" s="66" t="str">
        <f>IF(TableQCalcMain[[#This Row],[RowNumOfShownItems_SOFT]]="","",INDEX(TableQCalcMain[Unit_Price],TableQCalcMain[[#This Row],[RowNumOfShownItems_SOFT]]))</f>
        <v/>
      </c>
      <c r="Z8" s="66" t="str">
        <f>IF(TableQCalcMain[[#This Row],[RowNumOfShownItems_SOFT]]="","",INDEX(TableQCalcMain[Extended_price],TableQCalcMain[[#This Row],[RowNumOfShownItems_SOFT]]))</f>
        <v/>
      </c>
      <c r="AA8" t="str">
        <f t="array" ref="AA8">IFERROR(MATCH(0,COUNTIF(U$2:$U7,TableQCalcMain[Description])+IF(TableQCalcMain[ShowSoft]=0,1,0),0),"")</f>
        <v/>
      </c>
      <c r="AB8" s="66" t="str">
        <f>IF(TableQCalcMain[[#This Row],[RowNumOfShownItems_Hard]]&lt;&gt;"",INDEX(TableQCalcMain[Description],TableQCalcMain[[#This Row],[RowNumOfShownItems_Hard]]),"")</f>
        <v/>
      </c>
      <c r="AC8" s="66" t="str">
        <f>IF(TableQCalcMain[[#This Row],[RowNumOfShownItems_Hard]]&lt;&gt;"",INDEX(TableQCalcMain[Harmonized_Code],TableQCalcMain[[#This Row],[RowNumOfShownItems_Hard]]),"")</f>
        <v/>
      </c>
      <c r="AD8" s="66" t="str">
        <f>IF(TableQCalcMain[[#This Row],[RowNumOfShownItems_Hard]]="","",INDEX(TableQCalcMain[Detailed_Ext_Price],TableQCalcMain[[#This Row],[RowNumOfShownItems_Hard]]))</f>
        <v/>
      </c>
      <c r="AE8" s="66" t="str">
        <f>IF(TableQCalcMain[[#This Row],[RowNumOfShownItems_Hard]]="","",INDEX(TableQCalcMain[Real_Quantity],TableQCalcMain[[#This Row],[RowNumOfShownItems_Hard]]))</f>
        <v/>
      </c>
      <c r="AF8" s="66" t="str">
        <f>IF(TableQCalcMain[[#This Row],[RowNumOfShownItems_Hard]]="","",
IF(IFERROR(
INDEX(TableQCalcMain[Unit_Price],TableQCalcMain[[#This Row],[RowNumOfShownItems_Hard]]),0)=0,"",
INDEX(TableQCalcMain[Unit_Price],TableQCalcMain[[#This Row],[RowNumOfShownItems_Hard]])
))</f>
        <v/>
      </c>
      <c r="AG8" s="66" t="str">
        <f>IF(TableQCalcMain[[#This Row],[RowNumOfShownItems_Hard]]="","",
IF(IFERROR(
INDEX(TableQCalcMain[Extended_price],TableQCalcMain[[#This Row],[RowNumOfShownItems_Hard]]),0)=0,"",
INDEX(TableQCalcMain[Extended_price],TableQCalcMain[[#This Row],[RowNumOfShownItems_Hard]])
))</f>
        <v/>
      </c>
      <c r="AH8" s="66" t="str">
        <f t="array" ref="AH8">IFERROR(MATCH(0,COUNTIF(AB$2:$AB7,TableQCalcMain[Description])+IF(TableQCalcMain[ShowHard]=0,1,0),0),"")</f>
        <v/>
      </c>
    </row>
    <row r="9" spans="2:37" x14ac:dyDescent="0.2">
      <c r="B9" s="66" t="s">
        <v>95</v>
      </c>
      <c r="C9" s="66" t="str">
        <f>IF(NOT(QUOTE_Split_SoftwareHardware),"",C3)</f>
        <v/>
      </c>
      <c r="D9" s="66">
        <f>IF(DENDRO_ClientWithOrWithoutScanner=1,$D$3,0)</f>
        <v>0</v>
      </c>
      <c r="E9" s="66"/>
      <c r="F9" s="66">
        <v>1</v>
      </c>
      <c r="G9" s="66">
        <f>TableQCalcMain[[#This Row],[ShowDesc?]]*TableQCalcMain[[#This Row],[Software]]</f>
        <v>0</v>
      </c>
      <c r="H9" s="66">
        <f>TableQCalcMain[[#This Row],[ShowDesc?]]*TableQCalcMain[[#This Row],[Hardware]]</f>
        <v>0</v>
      </c>
      <c r="I9" s="66" t="str">
        <f>IF(OR(DENDRO_N_System=1,QUOTE_Split_SoftwareHardware),"","   • ") &amp; IF(DENDRO_IndexScanner=1,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DENDRO_Serial</f>
        <v xml:space="preserve"> STD4800 Scanner: 4800 dpi, Scan Area 22x30cm (20x25cm with SL)          S/N:</v>
      </c>
      <c r="J9" s="66" t="str">
        <f>IF(QUOTE_Split_SoftwareHardware,ScannerHCode,"")</f>
        <v/>
      </c>
      <c r="K9" s="66">
        <f>IF(DENDRO_ClientWithOrWithoutScanner=1,
   IF(Distributeurs_Rabais,
      IF(DENDRO_IndexScanner=1,PrixSTD_Dist,IF(DENDRO_IndexScanner=2,PrixLA_Dist,PrixLC_Dist)),
      IF(DENDRO_IndexScanner=1,PrixSTD,          IF(DENDRO_IndexScanner=2,PrixLA,          PrixLC))
    ),
0)
*(DENDRO_N_System-1)-K11</f>
        <v>0</v>
      </c>
      <c r="L9" s="66" t="str">
        <f>IF(OR(TableQCalcMain[[#This Row],[Extended_price]]=0,C3=0),"",ROUND(TableQCalcMain[[#This Row],[Extended_price]]/C3,2))</f>
        <v/>
      </c>
      <c r="M9" s="66">
        <f>IF(NOT(QUOTE_Split_SoftwareHardware),0,TableQCalcMain[[#This Row],[Detailed_Ext_Price]]+N(K10))</f>
        <v>0</v>
      </c>
      <c r="N9" s="77" t="str">
        <f>IF(TableQCalcMain[[#This Row],[RowNumOfShownItems_Unsplit]]&lt;&gt;"",INDEX(TableQCalcMain[Description],TableQCalcMain[[#This Row],[RowNumOfShownItems_Unsplit]]),"")</f>
        <v/>
      </c>
      <c r="O9" s="66" t="str">
        <f>IF(TableQCalcMain[[#This Row],[RowNumOfShownItems_Unsplit]]&lt;&gt;"",INDEX(TableQCalcMain[Harmonized_Code],TableQCalcMain[[#This Row],[RowNumOfShownItems_Unsplit]]),"")</f>
        <v/>
      </c>
      <c r="P9" s="66" t="str">
        <f>IF(TableQCalcMain[[#This Row],[RowNumOfShownItems_Unsplit]]="","",INDEX(TableQCalcMain[Detailed_Ext_Price],TableQCalcMain[[#This Row],[RowNumOfShownItems_Unsplit]]))</f>
        <v/>
      </c>
      <c r="Q9" s="66" t="str">
        <f>IF(TableQCalcMain[[#This Row],[RowNumOfShownItems_Unsplit]]="","",INDEX(TableQCalcMain[Real_Quantity],TableQCalcMain[[#This Row],[RowNumOfShownItems_Unsplit]]))</f>
        <v/>
      </c>
      <c r="R9" s="66" t="str">
        <f>IF(TableQCalcMain[[#This Row],[RowNumOfShownItems_Unsplit]]="","",
IF(IFERROR(
INDEX(TableQCalcMain[Unit_Price],TableQCalcMain[[#This Row],[RowNumOfShownItems_Unsplit]]),0)=0,"",
INDEX(TableQCalcMain[Unit_Price],TableQCalcMain[[#This Row],[RowNumOfShownItems_Unsplit]])
))</f>
        <v/>
      </c>
      <c r="S9" s="66" t="str">
        <f>IF(TableQCalcMain[[#This Row],[RowNumOfShownItems_Unsplit]]="","",
IF(IFERROR(
INDEX(TableQCalcMain[Extended_price],TableQCalcMain[[#This Row],[RowNumOfShownItems_Unsplit]]),0)=0,"",
INDEX(TableQCalcMain[Extended_price],TableQCalcMain[[#This Row],[RowNumOfShownItems_Unsplit]])
))</f>
        <v/>
      </c>
      <c r="T9" t="str">
        <f t="array" ref="T9">IFERROR(MATCH(0,COUNTIF(N$2:$N8,TableQCalcMain[Description])+IF(TableQCalcMain[ShowDesc?]=0,1,0),0),"")</f>
        <v/>
      </c>
      <c r="U9" s="66" t="str">
        <f>IF(TableQCalcMain[[#This Row],[RowNumOfShownItems_SOFT]]&lt;&gt;"",INDEX(TableQCalcMain[Description],TableQCalcMain[[#This Row],[RowNumOfShownItems_SOFT]]),"")</f>
        <v/>
      </c>
      <c r="V9" s="66" t="str">
        <f>IF(TableQCalcMain[[#This Row],[RowNumOfShownItems_SOFT]]&lt;&gt;"",INDEX(TableQCalcMain[Harmonized_Code],TableQCalcMain[[#This Row],[RowNumOfShownItems_SOFT]]),"")</f>
        <v/>
      </c>
      <c r="W9" s="66" t="str">
        <f>IF(TableQCalcMain[[#This Row],[RowNumOfShownItems_SOFT]]="","",INDEX(TableQCalcMain[Detailed_Ext_Price],TableQCalcMain[[#This Row],[RowNumOfShownItems_SOFT]]))</f>
        <v/>
      </c>
      <c r="X9" s="66" t="str">
        <f>IF(TableQCalcMain[[#This Row],[RowNumOfShownItems_SOFT]]="","",INDEX(TableQCalcMain[Real_Quantity],TableQCalcMain[[#This Row],[RowNumOfShownItems_SOFT]]))</f>
        <v/>
      </c>
      <c r="Y9" s="66" t="str">
        <f>IF(TableQCalcMain[[#This Row],[RowNumOfShownItems_SOFT]]="","",INDEX(TableQCalcMain[Unit_Price],TableQCalcMain[[#This Row],[RowNumOfShownItems_SOFT]]))</f>
        <v/>
      </c>
      <c r="Z9" s="66" t="str">
        <f>IF(TableQCalcMain[[#This Row],[RowNumOfShownItems_SOFT]]="","",INDEX(TableQCalcMain[Extended_price],TableQCalcMain[[#This Row],[RowNumOfShownItems_SOFT]]))</f>
        <v/>
      </c>
      <c r="AA9" t="str">
        <f t="array" ref="AA9">IFERROR(MATCH(0,COUNTIF(U$2:$U8,TableQCalcMain[Description])+IF(TableQCalcMain[ShowSoft]=0,1,0),0),"")</f>
        <v/>
      </c>
      <c r="AB9" s="66" t="str">
        <f>IF(TableQCalcMain[[#This Row],[RowNumOfShownItems_Hard]]&lt;&gt;"",INDEX(TableQCalcMain[Description],TableQCalcMain[[#This Row],[RowNumOfShownItems_Hard]]),"")</f>
        <v/>
      </c>
      <c r="AC9" s="66" t="str">
        <f>IF(TableQCalcMain[[#This Row],[RowNumOfShownItems_Hard]]&lt;&gt;"",INDEX(TableQCalcMain[Harmonized_Code],TableQCalcMain[[#This Row],[RowNumOfShownItems_Hard]]),"")</f>
        <v/>
      </c>
      <c r="AD9" s="66" t="str">
        <f>IF(TableQCalcMain[[#This Row],[RowNumOfShownItems_Hard]]="","",INDEX(TableQCalcMain[Detailed_Ext_Price],TableQCalcMain[[#This Row],[RowNumOfShownItems_Hard]]))</f>
        <v/>
      </c>
      <c r="AE9" s="66" t="str">
        <f>IF(TableQCalcMain[[#This Row],[RowNumOfShownItems_Hard]]="","",INDEX(TableQCalcMain[Real_Quantity],TableQCalcMain[[#This Row],[RowNumOfShownItems_Hard]]))</f>
        <v/>
      </c>
      <c r="AF9" s="66" t="str">
        <f>IF(TableQCalcMain[[#This Row],[RowNumOfShownItems_Hard]]="","",
IF(IFERROR(
INDEX(TableQCalcMain[Unit_Price],TableQCalcMain[[#This Row],[RowNumOfShownItems_Hard]]),0)=0,"",
INDEX(TableQCalcMain[Unit_Price],TableQCalcMain[[#This Row],[RowNumOfShownItems_Hard]])
))</f>
        <v/>
      </c>
      <c r="AG9" s="66" t="str">
        <f>IF(TableQCalcMain[[#This Row],[RowNumOfShownItems_Hard]]="","",
IF(IFERROR(
INDEX(TableQCalcMain[Extended_price],TableQCalcMain[[#This Row],[RowNumOfShownItems_Hard]]),0)=0,"",
INDEX(TableQCalcMain[Extended_price],TableQCalcMain[[#This Row],[RowNumOfShownItems_Hard]])
))</f>
        <v/>
      </c>
      <c r="AH9" s="66" t="str">
        <f t="array" ref="AH9">IFERROR(MATCH(0,COUNTIF(AB$2:$AB8,TableQCalcMain[Description])+IF(TableQCalcMain[ShowHard]=0,1,0),0),"")</f>
        <v/>
      </c>
    </row>
    <row r="10" spans="2:37" ht="17" x14ac:dyDescent="0.2">
      <c r="B10" s="66" t="s">
        <v>131</v>
      </c>
      <c r="C10" s="591" t="str">
        <f>IF(AND(DENDRO_ClientWithOrWithoutScanner=1,DENDRO_IndexScanner=2),D10,"")</f>
        <v/>
      </c>
      <c r="D10" s="66">
        <f>IF(AND(WinDENDRO!G21&gt;0,D3&gt;0),DENDRO_OptionTPU-1,IF(DENDRO_ClientWithOrWithoutScanner=1,$D$3,0))</f>
        <v>0</v>
      </c>
      <c r="E10" s="66"/>
      <c r="F10" s="66">
        <v>1</v>
      </c>
      <c r="G10" s="66">
        <f>TableQCalcMain[[#This Row],[ShowDesc?]]*TableQCalcMain[[#This Row],[Software]]</f>
        <v>0</v>
      </c>
      <c r="H10" s="66">
        <f>TableQCalcMain[[#This Row],[ShowDesc?]]*TableQCalcMain[[#This Row],[Hardware]]</f>
        <v>0</v>
      </c>
      <c r="I10" s="66" t="str">
        <f>"         " &amp; WinDENDRO!$E$21&amp;REPT(" ",1)  &amp;REPT(" ",20) &amp; "S/N:" &amp; DENDRO_SerialTPU</f>
        <v xml:space="preserve">         • Special Light (SL) for Xray Films, Roots, Seeds and Needles scanning                     S/N:</v>
      </c>
      <c r="J10" s="66" t="str">
        <f>""</f>
        <v/>
      </c>
      <c r="K10" s="615" t="str">
        <f>IF(DENDRO_IndexScanner=1,"incl.",
IF(Distributeurs_Rabais,PrixTPU_Dist,PrixTPU)*(DENDRO_OptionTPU-1)
)</f>
        <v>incl.</v>
      </c>
      <c r="L10" s="66" t="str">
        <f>""</f>
        <v/>
      </c>
      <c r="M10" s="66" t="str">
        <f>""</f>
        <v/>
      </c>
      <c r="N10" s="77" t="str">
        <f>IF(TableQCalcMain[[#This Row],[RowNumOfShownItems_Unsplit]]&lt;&gt;"",INDEX(TableQCalcMain[Description],TableQCalcMain[[#This Row],[RowNumOfShownItems_Unsplit]]),"")</f>
        <v/>
      </c>
      <c r="O10" s="66" t="str">
        <f>IF(TableQCalcMain[[#This Row],[RowNumOfShownItems_Unsplit]]&lt;&gt;"",INDEX(TableQCalcMain[Harmonized_Code],TableQCalcMain[[#This Row],[RowNumOfShownItems_Unsplit]]),"")</f>
        <v/>
      </c>
      <c r="P10" s="66" t="str">
        <f>IF(TableQCalcMain[[#This Row],[RowNumOfShownItems_Unsplit]]="","",INDEX(TableQCalcMain[Detailed_Ext_Price],TableQCalcMain[[#This Row],[RowNumOfShownItems_Unsplit]]))</f>
        <v/>
      </c>
      <c r="Q10" s="66" t="str">
        <f>IF(TableQCalcMain[[#This Row],[RowNumOfShownItems_Unsplit]]="","",INDEX(TableQCalcMain[Real_Quantity],TableQCalcMain[[#This Row],[RowNumOfShownItems_Unsplit]]))</f>
        <v/>
      </c>
      <c r="R10" s="66" t="str">
        <f>IF(TableQCalcMain[[#This Row],[RowNumOfShownItems_Unsplit]]="","",
IF(IFERROR(
INDEX(TableQCalcMain[Unit_Price],TableQCalcMain[[#This Row],[RowNumOfShownItems_Unsplit]]),0)=0,"",
INDEX(TableQCalcMain[Unit_Price],TableQCalcMain[[#This Row],[RowNumOfShownItems_Unsplit]])
))</f>
        <v/>
      </c>
      <c r="S10" s="66" t="str">
        <f>IF(TableQCalcMain[[#This Row],[RowNumOfShownItems_Unsplit]]="","",
IF(IFERROR(
INDEX(TableQCalcMain[Extended_price],TableQCalcMain[[#This Row],[RowNumOfShownItems_Unsplit]]),0)=0,"",
INDEX(TableQCalcMain[Extended_price],TableQCalcMain[[#This Row],[RowNumOfShownItems_Unsplit]])
))</f>
        <v/>
      </c>
      <c r="T10" t="str">
        <f t="array" ref="T10">IFERROR(MATCH(0,COUNTIF(N$2:$N9,TableQCalcMain[Description])+IF(TableQCalcMain[ShowDesc?]=0,1,0),0),"")</f>
        <v/>
      </c>
      <c r="U10" s="66" t="str">
        <f>IF(TableQCalcMain[[#This Row],[RowNumOfShownItems_SOFT]]&lt;&gt;"",INDEX(TableQCalcMain[Description],TableQCalcMain[[#This Row],[RowNumOfShownItems_SOFT]]),"")</f>
        <v/>
      </c>
      <c r="V10" s="66" t="str">
        <f>IF(TableQCalcMain[[#This Row],[RowNumOfShownItems_SOFT]]&lt;&gt;"",INDEX(TableQCalcMain[Harmonized_Code],TableQCalcMain[[#This Row],[RowNumOfShownItems_SOFT]]),"")</f>
        <v/>
      </c>
      <c r="W10" s="66" t="str">
        <f>IF(TableQCalcMain[[#This Row],[RowNumOfShownItems_SOFT]]="","",INDEX(TableQCalcMain[Detailed_Ext_Price],TableQCalcMain[[#This Row],[RowNumOfShownItems_SOFT]]))</f>
        <v/>
      </c>
      <c r="X10" s="66" t="str">
        <f>IF(TableQCalcMain[[#This Row],[RowNumOfShownItems_SOFT]]="","",INDEX(TableQCalcMain[Real_Quantity],TableQCalcMain[[#This Row],[RowNumOfShownItems_SOFT]]))</f>
        <v/>
      </c>
      <c r="Y10" s="66" t="str">
        <f>IF(TableQCalcMain[[#This Row],[RowNumOfShownItems_SOFT]]="","",INDEX(TableQCalcMain[Unit_Price],TableQCalcMain[[#This Row],[RowNumOfShownItems_SOFT]]))</f>
        <v/>
      </c>
      <c r="Z10" s="66" t="str">
        <f>IF(TableQCalcMain[[#This Row],[RowNumOfShownItems_SOFT]]="","",INDEX(TableQCalcMain[Extended_price],TableQCalcMain[[#This Row],[RowNumOfShownItems_SOFT]]))</f>
        <v/>
      </c>
      <c r="AA10" t="str">
        <f t="array" ref="AA10">IFERROR(MATCH(0,COUNTIF(U$2:$U9,TableQCalcMain[Description])+IF(TableQCalcMain[ShowSoft]=0,1,0),0),"")</f>
        <v/>
      </c>
      <c r="AB10" s="66" t="str">
        <f>IF(TableQCalcMain[[#This Row],[RowNumOfShownItems_Hard]]&lt;&gt;"",INDEX(TableQCalcMain[Description],TableQCalcMain[[#This Row],[RowNumOfShownItems_Hard]]),"")</f>
        <v/>
      </c>
      <c r="AC10" s="66" t="str">
        <f>IF(TableQCalcMain[[#This Row],[RowNumOfShownItems_Hard]]&lt;&gt;"",INDEX(TableQCalcMain[Harmonized_Code],TableQCalcMain[[#This Row],[RowNumOfShownItems_Hard]]),"")</f>
        <v/>
      </c>
      <c r="AD10" s="66" t="str">
        <f>IF(TableQCalcMain[[#This Row],[RowNumOfShownItems_Hard]]="","",INDEX(TableQCalcMain[Detailed_Ext_Price],TableQCalcMain[[#This Row],[RowNumOfShownItems_Hard]]))</f>
        <v/>
      </c>
      <c r="AE10" s="66" t="str">
        <f>IF(TableQCalcMain[[#This Row],[RowNumOfShownItems_Hard]]="","",INDEX(TableQCalcMain[Real_Quantity],TableQCalcMain[[#This Row],[RowNumOfShownItems_Hard]]))</f>
        <v/>
      </c>
      <c r="AF10" s="66" t="str">
        <f>IF(TableQCalcMain[[#This Row],[RowNumOfShownItems_Hard]]="","",
IF(IFERROR(
INDEX(TableQCalcMain[Unit_Price],TableQCalcMain[[#This Row],[RowNumOfShownItems_Hard]]),0)=0,"",
INDEX(TableQCalcMain[Unit_Price],TableQCalcMain[[#This Row],[RowNumOfShownItems_Hard]])
))</f>
        <v/>
      </c>
      <c r="AG10" s="66" t="str">
        <f>IF(TableQCalcMain[[#This Row],[RowNumOfShownItems_Hard]]="","",
IF(IFERROR(
INDEX(TableQCalcMain[Extended_price],TableQCalcMain[[#This Row],[RowNumOfShownItems_Hard]]),0)=0,"",
INDEX(TableQCalcMain[Extended_price],TableQCalcMain[[#This Row],[RowNumOfShownItems_Hard]])
))</f>
        <v/>
      </c>
      <c r="AH10" s="66" t="str">
        <f t="array" ref="AH10">IFERROR(MATCH(0,COUNTIF(AB$2:$AB9,TableQCalcMain[Description])+IF(TableQCalcMain[ShowHard]=0,1,0),0),"")</f>
        <v/>
      </c>
    </row>
    <row r="11" spans="2:37" ht="17" x14ac:dyDescent="0.2">
      <c r="B11" s="717" t="s">
        <v>357</v>
      </c>
      <c r="C11" s="718" t="str">
        <f>IF(AND((QUOTE_Split_SoftwareHardware),N(C4)=0),C3,
IF(AND(QUOTE_Split_SoftwareHardware,NOT(DENDRO_ClientWithOrWithoutScanner_ChkBox)),C3,"")
)</f>
        <v/>
      </c>
      <c r="D11" s="717">
        <f>IF(AND((QUOTE_Split_SoftwareHardware),AND(NOT(SuperUser),N(D4)=0)),0,D3)</f>
        <v>0</v>
      </c>
      <c r="E11" s="681">
        <v>1</v>
      </c>
      <c r="F11" s="681">
        <v>0</v>
      </c>
      <c r="G11" s="681">
        <f>TableQCalcMain[[#This Row],[ShowDesc?]]*TableQCalcMain[[#This Row],[Software]]</f>
        <v>0</v>
      </c>
      <c r="H11" s="681">
        <f>TableQCalcMain[[#This Row],[ShowDesc?]]*TableQCalcMain[[#This Row],[Hardware]]</f>
        <v>0</v>
      </c>
      <c r="I11" s="717" t="str">
        <f>IF(AND((QUOTE_Split_SoftwareHardware),N(C4)=0),"","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Scanner Calibration, Instructions, TWAIN driver &amp; Technical support</v>
      </c>
      <c r="J11" s="681" t="str">
        <f>""</f>
        <v/>
      </c>
      <c r="K11" s="681">
        <f>ROUND((IF(DENDRO_IndexScanner=1,STD_GenCalib_Drivers_Instr_Techsup,LA_GenCalib_Drivers_Instr_Techsup)
)*(DENDRO_N_System-1)*(1-RebateCalibScanner*Distributeurs_Rabais),0)</f>
        <v>0</v>
      </c>
      <c r="L11" s="681" t="str">
        <f>IF(QUOTE_Split_SoftwareHardware,TableQCalcMain[[#This Row],[Detailed_Ext_Price]]/TableQCalcMain[[#This Row],[ShowDesc?]],"")</f>
        <v/>
      </c>
      <c r="M11" s="681">
        <f>IF(QUOTE_Split_SoftwareHardware,TableQCalcMain[[#This Row],[Detailed_Ext_Price]],0)</f>
        <v>0</v>
      </c>
      <c r="N11" s="77" t="str">
        <f>IF(TableQCalcMain[[#This Row],[RowNumOfShownItems_Unsplit]]&lt;&gt;"",INDEX(TableQCalcMain[Description],TableQCalcMain[[#This Row],[RowNumOfShownItems_Unsplit]]),"")</f>
        <v/>
      </c>
      <c r="O11" s="66" t="str">
        <f>IF(TableQCalcMain[[#This Row],[RowNumOfShownItems_Unsplit]]&lt;&gt;"",INDEX(TableQCalcMain[Harmonized_Code],TableQCalcMain[[#This Row],[RowNumOfShownItems_Unsplit]]),"")</f>
        <v/>
      </c>
      <c r="P11" s="66" t="str">
        <f>IF(TableQCalcMain[[#This Row],[RowNumOfShownItems_Unsplit]]="","",INDEX(TableQCalcMain[Detailed_Ext_Price],TableQCalcMain[[#This Row],[RowNumOfShownItems_Unsplit]]))</f>
        <v/>
      </c>
      <c r="Q11" s="66" t="str">
        <f>IF(TableQCalcMain[[#This Row],[RowNumOfShownItems_Unsplit]]="","",INDEX(TableQCalcMain[Real_Quantity],TableQCalcMain[[#This Row],[RowNumOfShownItems_Unsplit]]))</f>
        <v/>
      </c>
      <c r="R11" s="66" t="str">
        <f>IF(TableQCalcMain[[#This Row],[RowNumOfShownItems_Unsplit]]="","",
IF(IFERROR(
INDEX(TableQCalcMain[Unit_Price],TableQCalcMain[[#This Row],[RowNumOfShownItems_Unsplit]]),0)=0,"",
INDEX(TableQCalcMain[Unit_Price],TableQCalcMain[[#This Row],[RowNumOfShownItems_Unsplit]])
))</f>
        <v/>
      </c>
      <c r="S11" s="66" t="str">
        <f>IF(TableQCalcMain[[#This Row],[RowNumOfShownItems_Unsplit]]="","",
IF(IFERROR(
INDEX(TableQCalcMain[Extended_price],TableQCalcMain[[#This Row],[RowNumOfShownItems_Unsplit]]),0)=0,"",
INDEX(TableQCalcMain[Extended_price],TableQCalcMain[[#This Row],[RowNumOfShownItems_Unsplit]])
))</f>
        <v/>
      </c>
      <c r="T11" t="str">
        <f t="array" ref="T11">IFERROR(MATCH(0,COUNTIF(N$2:$N10,TableQCalcMain[Description])+IF(TableQCalcMain[ShowDesc?]=0,1,0),0),"")</f>
        <v/>
      </c>
      <c r="U11" s="66" t="str">
        <f>IF(TableQCalcMain[[#This Row],[RowNumOfShownItems_SOFT]]&lt;&gt;"",INDEX(TableQCalcMain[Description],TableQCalcMain[[#This Row],[RowNumOfShownItems_SOFT]]),"")</f>
        <v/>
      </c>
      <c r="V11" s="66" t="str">
        <f>IF(TableQCalcMain[[#This Row],[RowNumOfShownItems_SOFT]]&lt;&gt;"",INDEX(TableQCalcMain[Harmonized_Code],TableQCalcMain[[#This Row],[RowNumOfShownItems_SOFT]]),"")</f>
        <v/>
      </c>
      <c r="W11" s="66" t="str">
        <f>IF(TableQCalcMain[[#This Row],[RowNumOfShownItems_SOFT]]="","",INDEX(TableQCalcMain[Detailed_Ext_Price],TableQCalcMain[[#This Row],[RowNumOfShownItems_SOFT]]))</f>
        <v/>
      </c>
      <c r="X11" s="66" t="str">
        <f>IF(TableQCalcMain[[#This Row],[RowNumOfShownItems_SOFT]]="","",INDEX(TableQCalcMain[Real_Quantity],TableQCalcMain[[#This Row],[RowNumOfShownItems_SOFT]]))</f>
        <v/>
      </c>
      <c r="Y11" s="66" t="str">
        <f>IF(TableQCalcMain[[#This Row],[RowNumOfShownItems_SOFT]]="","",INDEX(TableQCalcMain[Unit_Price],TableQCalcMain[[#This Row],[RowNumOfShownItems_SOFT]]))</f>
        <v/>
      </c>
      <c r="Z11" s="66" t="str">
        <f>IF(TableQCalcMain[[#This Row],[RowNumOfShownItems_SOFT]]="","",INDEX(TableQCalcMain[Extended_price],TableQCalcMain[[#This Row],[RowNumOfShownItems_SOFT]]))</f>
        <v/>
      </c>
      <c r="AA11" t="str">
        <f t="array" ref="AA11">IFERROR(MATCH(0,COUNTIF(U$2:$U10,TableQCalcMain[Description])+IF(TableQCalcMain[ShowSoft]=0,1,0),0),"")</f>
        <v/>
      </c>
      <c r="AB11" s="66" t="str">
        <f>IF(TableQCalcMain[[#This Row],[RowNumOfShownItems_Hard]]&lt;&gt;"",INDEX(TableQCalcMain[Description],TableQCalcMain[[#This Row],[RowNumOfShownItems_Hard]]),"")</f>
        <v/>
      </c>
      <c r="AC11" s="66" t="str">
        <f>IF(TableQCalcMain[[#This Row],[RowNumOfShownItems_Hard]]&lt;&gt;"",INDEX(TableQCalcMain[Harmonized_Code],TableQCalcMain[[#This Row],[RowNumOfShownItems_Hard]]),"")</f>
        <v/>
      </c>
      <c r="AD11" s="66" t="str">
        <f>IF(TableQCalcMain[[#This Row],[RowNumOfShownItems_Hard]]="","",INDEX(TableQCalcMain[Detailed_Ext_Price],TableQCalcMain[[#This Row],[RowNumOfShownItems_Hard]]))</f>
        <v/>
      </c>
      <c r="AE11" s="66" t="str">
        <f>IF(TableQCalcMain[[#This Row],[RowNumOfShownItems_Hard]]="","",INDEX(TableQCalcMain[Real_Quantity],TableQCalcMain[[#This Row],[RowNumOfShownItems_Hard]]))</f>
        <v/>
      </c>
      <c r="AF11" s="66" t="str">
        <f>IF(TableQCalcMain[[#This Row],[RowNumOfShownItems_Hard]]="","",
IF(IFERROR(
INDEX(TableQCalcMain[Unit_Price],TableQCalcMain[[#This Row],[RowNumOfShownItems_Hard]]),0)=0,"",
INDEX(TableQCalcMain[Unit_Price],TableQCalcMain[[#This Row],[RowNumOfShownItems_Hard]])
))</f>
        <v/>
      </c>
      <c r="AG11" s="66" t="str">
        <f>IF(TableQCalcMain[[#This Row],[RowNumOfShownItems_Hard]]="","",
IF(IFERROR(
INDEX(TableQCalcMain[Extended_price],TableQCalcMain[[#This Row],[RowNumOfShownItems_Hard]]),0)=0,"",
INDEX(TableQCalcMain[Extended_price],TableQCalcMain[[#This Row],[RowNumOfShownItems_Hard]])
))</f>
        <v/>
      </c>
      <c r="AH11" s="66" t="str">
        <f t="array" ref="AH11">IFERROR(MATCH(0,COUNTIF(AB$2:$AB10,TableQCalcMain[Description])+IF(TableQCalcMain[ShowHard]=0,1,0),0),"")</f>
        <v/>
      </c>
    </row>
    <row r="12" spans="2:37" x14ac:dyDescent="0.2">
      <c r="B12" s="66" t="s">
        <v>352</v>
      </c>
      <c r="C12" s="591"/>
      <c r="D12" s="66"/>
      <c r="E12" s="66"/>
      <c r="F12" s="66"/>
      <c r="G12" s="66"/>
      <c r="H12" s="66"/>
      <c r="I12" s="66"/>
      <c r="J12" s="66" t="str">
        <f>""</f>
        <v/>
      </c>
      <c r="K12" s="66" t="str">
        <f>""</f>
        <v/>
      </c>
      <c r="L12" s="66" t="str">
        <f>""</f>
        <v/>
      </c>
      <c r="M12" s="66" t="str">
        <f>""</f>
        <v/>
      </c>
      <c r="N12" s="77" t="str">
        <f>IF(TableQCalcMain[[#This Row],[RowNumOfShownItems_Unsplit]]&lt;&gt;"",INDEX(TableQCalcMain[Description],TableQCalcMain[[#This Row],[RowNumOfShownItems_Unsplit]]),"")</f>
        <v/>
      </c>
      <c r="O12" s="66" t="str">
        <f>IF(TableQCalcMain[[#This Row],[RowNumOfShownItems_Unsplit]]&lt;&gt;"",INDEX(TableQCalcMain[Harmonized_Code],TableQCalcMain[[#This Row],[RowNumOfShownItems_Unsplit]]),"")</f>
        <v/>
      </c>
      <c r="P12" s="66" t="str">
        <f>IF(TableQCalcMain[[#This Row],[RowNumOfShownItems_Unsplit]]="","",INDEX(TableQCalcMain[Detailed_Ext_Price],TableQCalcMain[[#This Row],[RowNumOfShownItems_Unsplit]]))</f>
        <v/>
      </c>
      <c r="Q12" s="66" t="str">
        <f>IF(TableQCalcMain[[#This Row],[RowNumOfShownItems_Unsplit]]="","",INDEX(TableQCalcMain[Real_Quantity],TableQCalcMain[[#This Row],[RowNumOfShownItems_Unsplit]]))</f>
        <v/>
      </c>
      <c r="R12" s="66" t="str">
        <f>IF(TableQCalcMain[[#This Row],[RowNumOfShownItems_Unsplit]]="","",
IF(IFERROR(
INDEX(TableQCalcMain[Unit_Price],TableQCalcMain[[#This Row],[RowNumOfShownItems_Unsplit]]),0)=0,"",
INDEX(TableQCalcMain[Unit_Price],TableQCalcMain[[#This Row],[RowNumOfShownItems_Unsplit]])
))</f>
        <v/>
      </c>
      <c r="S12" s="66" t="str">
        <f>IF(TableQCalcMain[[#This Row],[RowNumOfShownItems_Unsplit]]="","",
IF(IFERROR(
INDEX(TableQCalcMain[Extended_price],TableQCalcMain[[#This Row],[RowNumOfShownItems_Unsplit]]),0)=0,"",
INDEX(TableQCalcMain[Extended_price],TableQCalcMain[[#This Row],[RowNumOfShownItems_Unsplit]])
))</f>
        <v/>
      </c>
      <c r="T12" t="str">
        <f t="array" ref="T12">IFERROR(MATCH(0,COUNTIF(N$2:$N11,TableQCalcMain[Description])+IF(TableQCalcMain[ShowDesc?]=0,1,0),0),"")</f>
        <v/>
      </c>
      <c r="U12" s="66" t="str">
        <f>IF(TableQCalcMain[[#This Row],[RowNumOfShownItems_SOFT]]&lt;&gt;"",INDEX(TableQCalcMain[Description],TableQCalcMain[[#This Row],[RowNumOfShownItems_SOFT]]),"")</f>
        <v/>
      </c>
      <c r="V12" s="66" t="str">
        <f>IF(TableQCalcMain[[#This Row],[RowNumOfShownItems_SOFT]]&lt;&gt;"",INDEX(TableQCalcMain[Harmonized_Code],TableQCalcMain[[#This Row],[RowNumOfShownItems_SOFT]]),"")</f>
        <v/>
      </c>
      <c r="W12" s="66" t="str">
        <f>IF(TableQCalcMain[[#This Row],[RowNumOfShownItems_SOFT]]="","",INDEX(TableQCalcMain[Detailed_Ext_Price],TableQCalcMain[[#This Row],[RowNumOfShownItems_SOFT]]))</f>
        <v/>
      </c>
      <c r="X12" s="66" t="str">
        <f>IF(TableQCalcMain[[#This Row],[RowNumOfShownItems_SOFT]]="","",INDEX(TableQCalcMain[Real_Quantity],TableQCalcMain[[#This Row],[RowNumOfShownItems_SOFT]]))</f>
        <v/>
      </c>
      <c r="Y12" s="66" t="str">
        <f>IF(TableQCalcMain[[#This Row],[RowNumOfShownItems_SOFT]]="","",INDEX(TableQCalcMain[Unit_Price],TableQCalcMain[[#This Row],[RowNumOfShownItems_SOFT]]))</f>
        <v/>
      </c>
      <c r="Z12" s="66" t="str">
        <f>IF(TableQCalcMain[[#This Row],[RowNumOfShownItems_SOFT]]="","",INDEX(TableQCalcMain[Extended_price],TableQCalcMain[[#This Row],[RowNumOfShownItems_SOFT]]))</f>
        <v/>
      </c>
      <c r="AA12" t="str">
        <f t="array" ref="AA12">IFERROR(MATCH(0,COUNTIF(U$2:$U11,TableQCalcMain[Description])+IF(TableQCalcMain[ShowSoft]=0,1,0),0),"")</f>
        <v/>
      </c>
      <c r="AB12" s="66" t="str">
        <f>IF(TableQCalcMain[[#This Row],[RowNumOfShownItems_Hard]]&lt;&gt;"",INDEX(TableQCalcMain[Description],TableQCalcMain[[#This Row],[RowNumOfShownItems_Hard]]),"")</f>
        <v/>
      </c>
      <c r="AC12" s="66" t="str">
        <f>IF(TableQCalcMain[[#This Row],[RowNumOfShownItems_Hard]]&lt;&gt;"",INDEX(TableQCalcMain[Harmonized_Code],TableQCalcMain[[#This Row],[RowNumOfShownItems_Hard]]),"")</f>
        <v/>
      </c>
      <c r="AD12" s="66" t="str">
        <f>IF(TableQCalcMain[[#This Row],[RowNumOfShownItems_Hard]]="","",INDEX(TableQCalcMain[Detailed_Ext_Price],TableQCalcMain[[#This Row],[RowNumOfShownItems_Hard]]))</f>
        <v/>
      </c>
      <c r="AE12" s="66" t="str">
        <f>IF(TableQCalcMain[[#This Row],[RowNumOfShownItems_Hard]]="","",INDEX(TableQCalcMain[Real_Quantity],TableQCalcMain[[#This Row],[RowNumOfShownItems_Hard]]))</f>
        <v/>
      </c>
      <c r="AF12" s="66" t="str">
        <f>IF(TableQCalcMain[[#This Row],[RowNumOfShownItems_Hard]]="","",
IF(IFERROR(
INDEX(TableQCalcMain[Unit_Price],TableQCalcMain[[#This Row],[RowNumOfShownItems_Hard]]),0)=0,"",
INDEX(TableQCalcMain[Unit_Price],TableQCalcMain[[#This Row],[RowNumOfShownItems_Hard]])
))</f>
        <v/>
      </c>
      <c r="AG12" s="66" t="str">
        <f>IF(TableQCalcMain[[#This Row],[RowNumOfShownItems_Hard]]="","",
IF(IFERROR(
INDEX(TableQCalcMain[Extended_price],TableQCalcMain[[#This Row],[RowNumOfShownItems_Hard]]),0)=0,"",
INDEX(TableQCalcMain[Extended_price],TableQCalcMain[[#This Row],[RowNumOfShownItems_Hard]])
))</f>
        <v/>
      </c>
      <c r="AH12" s="66" t="str">
        <f t="array" ref="AH12">IFERROR(MATCH(0,COUNTIF(AB$2:$AB11,TableQCalcMain[Description])+IF(TableQCalcMain[ShowHard]=0,1,0),0),"")</f>
        <v/>
      </c>
    </row>
    <row r="13" spans="2:37" x14ac:dyDescent="0.2">
      <c r="B13" s="607" t="s">
        <v>58</v>
      </c>
      <c r="C13" s="66">
        <f>DENDRO_N_UpgradeUpdate-1</f>
        <v>0</v>
      </c>
      <c r="D13" s="712">
        <f>IFERROR(IF(AND(D5=0,OR(WinDENDRO!#REF!&gt;0,WinDENDRO!#REF!&gt;0)),DENDRO_N_UpgradeUpdate-1,0),0)</f>
        <v>0</v>
      </c>
      <c r="E13" s="66">
        <v>1</v>
      </c>
      <c r="F13" s="66"/>
      <c r="G13" s="66">
        <f>TableQCalcMain[[#This Row],[ShowDesc?]]*TableQCalcMain[[#This Row],[Software]]</f>
        <v>0</v>
      </c>
      <c r="H13" s="66">
        <f>TableQCalcMain[[#This Row],[ShowDesc?]]*TableQCalcMain[[#This Row],[Hardware]]</f>
        <v>0</v>
      </c>
      <c r="I13" s="607" t="e">
        <f>IF(Francais,"Mise à jour de ","Update from ")&amp;
SUBSTITUTE(TRIM(INDEX(DENDRO_SoftwareList,DENDRO_IndexClientVersion))," "," "&amp;DENDRO_YearClient&amp;" ",1)&amp;
IF(Francais," à "," to ")&amp;
SUBSTITUTE(TRIM(INDEX(DENDRO_SoftwareList,DENDRO_IndexSoftware))," "," "&amp;DENDRO_YearMostRecent&amp;" ",1) &amp; " " &amp; "&amp;" &amp; " XLSTEM"
&amp;
IF(QUOTE_Split_SoftwareHardware,IF(QUOTE_InternetDownload,IF(Francais, ", Téléchargement Internet", ", Internet download"),IF(Francais, ", Envoyé par transporteur", ", Shipped by courier")),IF(Francais," sur media USB (manuels PDF &amp; imprimés)"," on USB drive (PDF &amp; printed manuals)"))</f>
        <v>#REF!</v>
      </c>
      <c r="J13" s="66">
        <f>IF(DENDRO_N_System&gt;1,
"",WinDENDRO!$I$11)</f>
        <v>852349</v>
      </c>
      <c r="K13" s="66" t="str">
        <f>""</f>
        <v/>
      </c>
      <c r="L13" s="66" t="e">
        <f>ROUND(TableQCalcMain[[#This Row],[Extended_price]]/TableQCalcMain[[#This Row],[Real_Quantity]],2)</f>
        <v>#REF!</v>
      </c>
      <c r="M13" s="66" t="e">
        <f>ROUND(IF(Distributeurs_Rabais,WinDENDRO!#REF!,WinDENDRO!#REF!)
-IF(QUOTE_Split_SoftwareHardware,PrixUSBKey*(DENDRO_N_UpgradeUpdate-1),0),2)</f>
        <v>#REF!</v>
      </c>
      <c r="N13" s="77" t="str">
        <f>IF(TableQCalcMain[[#This Row],[RowNumOfShownItems_Unsplit]]&lt;&gt;"",INDEX(TableQCalcMain[Description],TableQCalcMain[[#This Row],[RowNumOfShownItems_Unsplit]]),"")</f>
        <v/>
      </c>
      <c r="O13" s="66" t="str">
        <f>IF(TableQCalcMain[[#This Row],[RowNumOfShownItems_Unsplit]]&lt;&gt;"",INDEX(TableQCalcMain[Harmonized_Code],TableQCalcMain[[#This Row],[RowNumOfShownItems_Unsplit]]),"")</f>
        <v/>
      </c>
      <c r="P13" s="66" t="str">
        <f>IF(TableQCalcMain[[#This Row],[RowNumOfShownItems_Unsplit]]="","",INDEX(TableQCalcMain[Detailed_Ext_Price],TableQCalcMain[[#This Row],[RowNumOfShownItems_Unsplit]]))</f>
        <v/>
      </c>
      <c r="Q13" s="66" t="str">
        <f>IF(TableQCalcMain[[#This Row],[RowNumOfShownItems_Unsplit]]="","",INDEX(TableQCalcMain[Real_Quantity],TableQCalcMain[[#This Row],[RowNumOfShownItems_Unsplit]]))</f>
        <v/>
      </c>
      <c r="R13" s="66" t="str">
        <f>IF(TableQCalcMain[[#This Row],[RowNumOfShownItems_Unsplit]]="","",
IF(IFERROR(
INDEX(TableQCalcMain[Unit_Price],TableQCalcMain[[#This Row],[RowNumOfShownItems_Unsplit]]),0)=0,"",
INDEX(TableQCalcMain[Unit_Price],TableQCalcMain[[#This Row],[RowNumOfShownItems_Unsplit]])
))</f>
        <v/>
      </c>
      <c r="S13" s="66" t="str">
        <f>IF(TableQCalcMain[[#This Row],[RowNumOfShownItems_Unsplit]]="","",
IF(IFERROR(
INDEX(TableQCalcMain[Extended_price],TableQCalcMain[[#This Row],[RowNumOfShownItems_Unsplit]]),0)=0,"",
INDEX(TableQCalcMain[Extended_price],TableQCalcMain[[#This Row],[RowNumOfShownItems_Unsplit]])
))</f>
        <v/>
      </c>
      <c r="T13" t="str">
        <f t="array" ref="T13">IFERROR(MATCH(0,COUNTIF(N$2:$N12,TableQCalcMain[Description])+IF(TableQCalcMain[ShowDesc?]=0,1,0),0),"")</f>
        <v/>
      </c>
      <c r="U13" s="66" t="str">
        <f>IF(TableQCalcMain[[#This Row],[RowNumOfShownItems_SOFT]]&lt;&gt;"",INDEX(TableQCalcMain[Description],TableQCalcMain[[#This Row],[RowNumOfShownItems_SOFT]]),"")</f>
        <v/>
      </c>
      <c r="V13" s="66" t="str">
        <f>IF(TableQCalcMain[[#This Row],[RowNumOfShownItems_SOFT]]&lt;&gt;"",INDEX(TableQCalcMain[Harmonized_Code],TableQCalcMain[[#This Row],[RowNumOfShownItems_SOFT]]),"")</f>
        <v/>
      </c>
      <c r="W13" s="66" t="str">
        <f>IF(TableQCalcMain[[#This Row],[RowNumOfShownItems_SOFT]]="","",INDEX(TableQCalcMain[Detailed_Ext_Price],TableQCalcMain[[#This Row],[RowNumOfShownItems_SOFT]]))</f>
        <v/>
      </c>
      <c r="X13" s="66" t="str">
        <f>IF(TableQCalcMain[[#This Row],[RowNumOfShownItems_SOFT]]="","",INDEX(TableQCalcMain[Real_Quantity],TableQCalcMain[[#This Row],[RowNumOfShownItems_SOFT]]))</f>
        <v/>
      </c>
      <c r="Y13" s="66" t="str">
        <f>IF(TableQCalcMain[[#This Row],[RowNumOfShownItems_SOFT]]="","",INDEX(TableQCalcMain[Unit_Price],TableQCalcMain[[#This Row],[RowNumOfShownItems_SOFT]]))</f>
        <v/>
      </c>
      <c r="Z13" s="66" t="str">
        <f>IF(TableQCalcMain[[#This Row],[RowNumOfShownItems_SOFT]]="","",INDEX(TableQCalcMain[Extended_price],TableQCalcMain[[#This Row],[RowNumOfShownItems_SOFT]]))</f>
        <v/>
      </c>
      <c r="AA13" t="str">
        <f t="array" ref="AA13">IFERROR(MATCH(0,COUNTIF(U$2:$U12,TableQCalcMain[Description])+IF(TableQCalcMain[ShowSoft]=0,1,0),0),"")</f>
        <v/>
      </c>
      <c r="AB13" s="66" t="str">
        <f>IF(TableQCalcMain[[#This Row],[RowNumOfShownItems_Hard]]&lt;&gt;"",INDEX(TableQCalcMain[Description],TableQCalcMain[[#This Row],[RowNumOfShownItems_Hard]]),"")</f>
        <v/>
      </c>
      <c r="AC13" s="66" t="str">
        <f>IF(TableQCalcMain[[#This Row],[RowNumOfShownItems_Hard]]&lt;&gt;"",INDEX(TableQCalcMain[Harmonized_Code],TableQCalcMain[[#This Row],[RowNumOfShownItems_Hard]]),"")</f>
        <v/>
      </c>
      <c r="AD13" s="66" t="str">
        <f>IF(TableQCalcMain[[#This Row],[RowNumOfShownItems_Hard]]="","",INDEX(TableQCalcMain[Detailed_Ext_Price],TableQCalcMain[[#This Row],[RowNumOfShownItems_Hard]]))</f>
        <v/>
      </c>
      <c r="AE13" s="66" t="str">
        <f>IF(TableQCalcMain[[#This Row],[RowNumOfShownItems_Hard]]="","",INDEX(TableQCalcMain[Real_Quantity],TableQCalcMain[[#This Row],[RowNumOfShownItems_Hard]]))</f>
        <v/>
      </c>
      <c r="AF13" s="66" t="str">
        <f>IF(TableQCalcMain[[#This Row],[RowNumOfShownItems_Hard]]="","",
IF(IFERROR(
INDEX(TableQCalcMain[Unit_Price],TableQCalcMain[[#This Row],[RowNumOfShownItems_Hard]]),0)=0,"",
INDEX(TableQCalcMain[Unit_Price],TableQCalcMain[[#This Row],[RowNumOfShownItems_Hard]])
))</f>
        <v/>
      </c>
      <c r="AG13" s="66" t="str">
        <f>IF(TableQCalcMain[[#This Row],[RowNumOfShownItems_Hard]]="","",
IF(IFERROR(
INDEX(TableQCalcMain[Extended_price],TableQCalcMain[[#This Row],[RowNumOfShownItems_Hard]]),0)=0,"",
INDEX(TableQCalcMain[Extended_price],TableQCalcMain[[#This Row],[RowNumOfShownItems_Hard]])
))</f>
        <v/>
      </c>
      <c r="AH13" s="66" t="str">
        <f t="array" ref="AH13">IFERROR(MATCH(0,COUNTIF(AB$2:$AB12,TableQCalcMain[Description])+IF(TableQCalcMain[ShowHard]=0,1,0),0),"")</f>
        <v/>
      </c>
    </row>
    <row r="14" spans="2:37" x14ac:dyDescent="0.2">
      <c r="B14" s="608" t="s">
        <v>339</v>
      </c>
      <c r="C14" s="66" t="str">
        <f>""</f>
        <v/>
      </c>
      <c r="D14" s="66">
        <f>IF(QUOTE_Split_SoftwareHardware,N($C$13),0)</f>
        <v>0</v>
      </c>
      <c r="E14" s="66">
        <v>1</v>
      </c>
      <c r="F14" s="66"/>
      <c r="G14" s="66">
        <f>TableQCalcMain[[#This Row],[ShowDesc?]]*TableQCalcMain[[#This Row],[Software]]</f>
        <v>0</v>
      </c>
      <c r="H14" s="66"/>
      <c r="I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f>
        <v xml:space="preserve">         • Software &amp; Instructions documents (PDF &amp; printed) </v>
      </c>
      <c r="J14" s="66" t="str">
        <f>""</f>
        <v/>
      </c>
      <c r="K14" s="66" t="str">
        <f>""</f>
        <v/>
      </c>
      <c r="L14" s="66" t="str">
        <f>""</f>
        <v/>
      </c>
      <c r="M14" s="66" t="str">
        <f>""</f>
        <v/>
      </c>
      <c r="N14" s="77" t="str">
        <f>IF(TableQCalcMain[[#This Row],[RowNumOfShownItems_Unsplit]]&lt;&gt;"",INDEX(TableQCalcMain[Description],TableQCalcMain[[#This Row],[RowNumOfShownItems_Unsplit]]),"")</f>
        <v/>
      </c>
      <c r="O14" s="66" t="str">
        <f>IF(TableQCalcMain[[#This Row],[RowNumOfShownItems_Unsplit]]&lt;&gt;"",INDEX(TableQCalcMain[Harmonized_Code],TableQCalcMain[[#This Row],[RowNumOfShownItems_Unsplit]]),"")</f>
        <v/>
      </c>
      <c r="P14" s="66" t="str">
        <f>IF(TableQCalcMain[[#This Row],[RowNumOfShownItems_Unsplit]]="","",INDEX(TableQCalcMain[Detailed_Ext_Price],TableQCalcMain[[#This Row],[RowNumOfShownItems_Unsplit]]))</f>
        <v/>
      </c>
      <c r="Q14" s="66" t="str">
        <f>IF(TableQCalcMain[[#This Row],[RowNumOfShownItems_Unsplit]]="","",INDEX(TableQCalcMain[Real_Quantity],TableQCalcMain[[#This Row],[RowNumOfShownItems_Unsplit]]))</f>
        <v/>
      </c>
      <c r="R14" s="66" t="str">
        <f>IF(TableQCalcMain[[#This Row],[RowNumOfShownItems_Unsplit]]="","",
IF(IFERROR(
INDEX(TableQCalcMain[Unit_Price],TableQCalcMain[[#This Row],[RowNumOfShownItems_Unsplit]]),0)=0,"",
INDEX(TableQCalcMain[Unit_Price],TableQCalcMain[[#This Row],[RowNumOfShownItems_Unsplit]])
))</f>
        <v/>
      </c>
      <c r="S14" s="66" t="str">
        <f>IF(TableQCalcMain[[#This Row],[RowNumOfShownItems_Unsplit]]="","",
IF(IFERROR(
INDEX(TableQCalcMain[Extended_price],TableQCalcMain[[#This Row],[RowNumOfShownItems_Unsplit]]),0)=0,"",
INDEX(TableQCalcMain[Extended_price],TableQCalcMain[[#This Row],[RowNumOfShownItems_Unsplit]])
))</f>
        <v/>
      </c>
      <c r="T14" t="str">
        <f t="array" ref="T14">IFERROR(MATCH(0,COUNTIF(N$2:$N13,TableQCalcMain[Description])+IF(TableQCalcMain[ShowDesc?]=0,1,0),0),"")</f>
        <v/>
      </c>
      <c r="U14" s="66" t="str">
        <f>IF(TableQCalcMain[[#This Row],[RowNumOfShownItems_SOFT]]&lt;&gt;"",INDEX(TableQCalcMain[Description],TableQCalcMain[[#This Row],[RowNumOfShownItems_SOFT]]),"")</f>
        <v/>
      </c>
      <c r="V14" s="66" t="str">
        <f>IF(TableQCalcMain[[#This Row],[RowNumOfShownItems_SOFT]]&lt;&gt;"",INDEX(TableQCalcMain[Harmonized_Code],TableQCalcMain[[#This Row],[RowNumOfShownItems_SOFT]]),"")</f>
        <v/>
      </c>
      <c r="W14" s="66" t="str">
        <f>IF(TableQCalcMain[[#This Row],[RowNumOfShownItems_SOFT]]="","",INDEX(TableQCalcMain[Detailed_Ext_Price],TableQCalcMain[[#This Row],[RowNumOfShownItems_SOFT]]))</f>
        <v/>
      </c>
      <c r="X14" s="66" t="str">
        <f>IF(TableQCalcMain[[#This Row],[RowNumOfShownItems_SOFT]]="","",INDEX(TableQCalcMain[Real_Quantity],TableQCalcMain[[#This Row],[RowNumOfShownItems_SOFT]]))</f>
        <v/>
      </c>
      <c r="Y14" s="66" t="str">
        <f>IF(TableQCalcMain[[#This Row],[RowNumOfShownItems_SOFT]]="","",INDEX(TableQCalcMain[Unit_Price],TableQCalcMain[[#This Row],[RowNumOfShownItems_SOFT]]))</f>
        <v/>
      </c>
      <c r="Z14" s="66" t="str">
        <f>IF(TableQCalcMain[[#This Row],[RowNumOfShownItems_SOFT]]="","",INDEX(TableQCalcMain[Extended_price],TableQCalcMain[[#This Row],[RowNumOfShownItems_SOFT]]))</f>
        <v/>
      </c>
      <c r="AA14" t="str">
        <f t="array" ref="AA14">IFERROR(MATCH(0,COUNTIF(U$2:$U13,TableQCalcMain[Description])+IF(TableQCalcMain[ShowSoft]=0,1,0),0),"")</f>
        <v/>
      </c>
      <c r="AB14" s="66" t="str">
        <f>IF(TableQCalcMain[[#This Row],[RowNumOfShownItems_Hard]]&lt;&gt;"",INDEX(TableQCalcMain[Description],TableQCalcMain[[#This Row],[RowNumOfShownItems_Hard]]),"")</f>
        <v/>
      </c>
      <c r="AC14" s="66" t="str">
        <f>IF(TableQCalcMain[[#This Row],[RowNumOfShownItems_Hard]]&lt;&gt;"",INDEX(TableQCalcMain[Harmonized_Code],TableQCalcMain[[#This Row],[RowNumOfShownItems_Hard]]),"")</f>
        <v/>
      </c>
      <c r="AD14" s="66" t="str">
        <f>IF(TableQCalcMain[[#This Row],[RowNumOfShownItems_Hard]]="","",INDEX(TableQCalcMain[Detailed_Ext_Price],TableQCalcMain[[#This Row],[RowNumOfShownItems_Hard]]))</f>
        <v/>
      </c>
      <c r="AE14" s="66" t="str">
        <f>IF(TableQCalcMain[[#This Row],[RowNumOfShownItems_Hard]]="","",INDEX(TableQCalcMain[Real_Quantity],TableQCalcMain[[#This Row],[RowNumOfShownItems_Hard]]))</f>
        <v/>
      </c>
      <c r="AF14" s="66" t="str">
        <f>IF(TableQCalcMain[[#This Row],[RowNumOfShownItems_Hard]]="","",
IF(IFERROR(
INDEX(TableQCalcMain[Unit_Price],TableQCalcMain[[#This Row],[RowNumOfShownItems_Hard]]),0)=0,"",
INDEX(TableQCalcMain[Unit_Price],TableQCalcMain[[#This Row],[RowNumOfShownItems_Hard]])
))</f>
        <v/>
      </c>
      <c r="AG14" s="66" t="str">
        <f>IF(TableQCalcMain[[#This Row],[RowNumOfShownItems_Hard]]="","",
IF(IFERROR(
INDEX(TableQCalcMain[Extended_price],TableQCalcMain[[#This Row],[RowNumOfShownItems_Hard]]),0)=0,"",
INDEX(TableQCalcMain[Extended_price],TableQCalcMain[[#This Row],[RowNumOfShownItems_Hard]])
))</f>
        <v/>
      </c>
      <c r="AH14" s="66" t="str">
        <f t="array" ref="AH14">IFERROR(MATCH(0,COUNTIF(AB$2:$AB13,TableQCalcMain[Description])+IF(TableQCalcMain[ShowHard]=0,1,0),0),"")</f>
        <v/>
      </c>
    </row>
    <row r="15" spans="2:37" x14ac:dyDescent="0.2">
      <c r="B15" s="681" t="str">
        <f>B11&amp;"Upd"</f>
        <v>DENDRO System Calib ManualUpd</v>
      </c>
      <c r="C15" s="681" t="str">
        <f>""</f>
        <v/>
      </c>
      <c r="D15" s="681">
        <f>IF(AND(D3&gt;0,D4=0),D8,0)</f>
        <v>0</v>
      </c>
      <c r="E15" s="681">
        <v>1</v>
      </c>
      <c r="F15" s="681">
        <v>0</v>
      </c>
      <c r="G15" s="681">
        <f>TableQCalcMain[[#This Row],[ShowDesc?]]*TableQCalcMain[[#This Row],[Software]]</f>
        <v>0</v>
      </c>
      <c r="H15" s="681">
        <f>TableQCalcMain[[#This Row],[ShowDesc?]]*TableQCalcMain[[#This Row],[Hardware]]</f>
        <v>0</v>
      </c>
      <c r="I15"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Scanner Calibration, Instructions, TWAIN driver &amp; Technical support     </v>
      </c>
      <c r="J15" s="681" t="str">
        <f>J11</f>
        <v/>
      </c>
      <c r="K15" s="681">
        <f>K11</f>
        <v>0</v>
      </c>
      <c r="L15" s="681" t="str">
        <f>IF(QUOTE_Split_SoftwareHardware,TableQCalcMain[[#This Row],[Detailed_Ext_Price]]/TableQCalcMain[[#This Row],[ShowDesc?]],"")</f>
        <v/>
      </c>
      <c r="M15" s="681">
        <f>M11</f>
        <v>0</v>
      </c>
      <c r="N15" s="77" t="str">
        <f>IF(TableQCalcMain[[#This Row],[RowNumOfShownItems_Unsplit]]&lt;&gt;"",INDEX(TableQCalcMain[Description],TableQCalcMain[[#This Row],[RowNumOfShownItems_Unsplit]]),"")</f>
        <v/>
      </c>
      <c r="O15" s="66" t="str">
        <f>IF(TableQCalcMain[[#This Row],[RowNumOfShownItems_Unsplit]]&lt;&gt;"",INDEX(TableQCalcMain[Harmonized_Code],TableQCalcMain[[#This Row],[RowNumOfShownItems_Unsplit]]),"")</f>
        <v/>
      </c>
      <c r="P15" s="66" t="str">
        <f>IF(TableQCalcMain[[#This Row],[RowNumOfShownItems_Unsplit]]="","",INDEX(TableQCalcMain[Detailed_Ext_Price],TableQCalcMain[[#This Row],[RowNumOfShownItems_Unsplit]]))</f>
        <v/>
      </c>
      <c r="Q15" s="66" t="str">
        <f>IF(TableQCalcMain[[#This Row],[RowNumOfShownItems_Unsplit]]="","",INDEX(TableQCalcMain[Real_Quantity],TableQCalcMain[[#This Row],[RowNumOfShownItems_Unsplit]]))</f>
        <v/>
      </c>
      <c r="R15" s="66" t="str">
        <f>IF(TableQCalcMain[[#This Row],[RowNumOfShownItems_Unsplit]]="","",
IF(IFERROR(
INDEX(TableQCalcMain[Unit_Price],TableQCalcMain[[#This Row],[RowNumOfShownItems_Unsplit]]),0)=0,"",
INDEX(TableQCalcMain[Unit_Price],TableQCalcMain[[#This Row],[RowNumOfShownItems_Unsplit]])
))</f>
        <v/>
      </c>
      <c r="S15" s="66" t="str">
        <f>IF(TableQCalcMain[[#This Row],[RowNumOfShownItems_Unsplit]]="","",
IF(IFERROR(
INDEX(TableQCalcMain[Extended_price],TableQCalcMain[[#This Row],[RowNumOfShownItems_Unsplit]]),0)=0,"",
INDEX(TableQCalcMain[Extended_price],TableQCalcMain[[#This Row],[RowNumOfShownItems_Unsplit]])
))</f>
        <v/>
      </c>
      <c r="T15" t="str">
        <f t="array" ref="T15">IFERROR(MATCH(0,COUNTIF(N$2:$N14,TableQCalcMain[Description])+IF(TableQCalcMain[ShowDesc?]=0,1,0),0),"")</f>
        <v/>
      </c>
      <c r="U15" s="66" t="str">
        <f>IF(TableQCalcMain[[#This Row],[RowNumOfShownItems_SOFT]]&lt;&gt;"",INDEX(TableQCalcMain[Description],TableQCalcMain[[#This Row],[RowNumOfShownItems_SOFT]]),"")</f>
        <v/>
      </c>
      <c r="V15" s="66" t="str">
        <f>IF(TableQCalcMain[[#This Row],[RowNumOfShownItems_SOFT]]&lt;&gt;"",INDEX(TableQCalcMain[Harmonized_Code],TableQCalcMain[[#This Row],[RowNumOfShownItems_SOFT]]),"")</f>
        <v/>
      </c>
      <c r="W15" s="66" t="str">
        <f>IF(TableQCalcMain[[#This Row],[RowNumOfShownItems_SOFT]]="","",INDEX(TableQCalcMain[Detailed_Ext_Price],TableQCalcMain[[#This Row],[RowNumOfShownItems_SOFT]]))</f>
        <v/>
      </c>
      <c r="X15" s="66" t="str">
        <f>IF(TableQCalcMain[[#This Row],[RowNumOfShownItems_SOFT]]="","",INDEX(TableQCalcMain[Real_Quantity],TableQCalcMain[[#This Row],[RowNumOfShownItems_SOFT]]))</f>
        <v/>
      </c>
      <c r="Y15" s="66" t="str">
        <f>IF(TableQCalcMain[[#This Row],[RowNumOfShownItems_SOFT]]="","",INDEX(TableQCalcMain[Unit_Price],TableQCalcMain[[#This Row],[RowNumOfShownItems_SOFT]]))</f>
        <v/>
      </c>
      <c r="Z15" s="66" t="str">
        <f>IF(TableQCalcMain[[#This Row],[RowNumOfShownItems_SOFT]]="","",INDEX(TableQCalcMain[Extended_price],TableQCalcMain[[#This Row],[RowNumOfShownItems_SOFT]]))</f>
        <v/>
      </c>
      <c r="AA15" t="str">
        <f t="array" ref="AA15">IFERROR(MATCH(0,COUNTIF(U$2:$U14,TableQCalcMain[Description])+IF(TableQCalcMain[ShowSoft]=0,1,0),0),"")</f>
        <v/>
      </c>
      <c r="AB15" s="66" t="str">
        <f>IF(TableQCalcMain[[#This Row],[RowNumOfShownItems_Hard]]&lt;&gt;"",INDEX(TableQCalcMain[Description],TableQCalcMain[[#This Row],[RowNumOfShownItems_Hard]]),"")</f>
        <v/>
      </c>
      <c r="AC15" s="66" t="str">
        <f>IF(TableQCalcMain[[#This Row],[RowNumOfShownItems_Hard]]&lt;&gt;"",INDEX(TableQCalcMain[Harmonized_Code],TableQCalcMain[[#This Row],[RowNumOfShownItems_Hard]]),"")</f>
        <v/>
      </c>
      <c r="AD15" s="66" t="str">
        <f>IF(TableQCalcMain[[#This Row],[RowNumOfShownItems_Hard]]="","",INDEX(TableQCalcMain[Detailed_Ext_Price],TableQCalcMain[[#This Row],[RowNumOfShownItems_Hard]]))</f>
        <v/>
      </c>
      <c r="AE15" s="66" t="str">
        <f>IF(TableQCalcMain[[#This Row],[RowNumOfShownItems_Hard]]="","",INDEX(TableQCalcMain[Real_Quantity],TableQCalcMain[[#This Row],[RowNumOfShownItems_Hard]]))</f>
        <v/>
      </c>
      <c r="AF15" s="66" t="str">
        <f>IF(TableQCalcMain[[#This Row],[RowNumOfShownItems_Hard]]="","",
IF(IFERROR(
INDEX(TableQCalcMain[Unit_Price],TableQCalcMain[[#This Row],[RowNumOfShownItems_Hard]]),0)=0,"",
INDEX(TableQCalcMain[Unit_Price],TableQCalcMain[[#This Row],[RowNumOfShownItems_Hard]])
))</f>
        <v/>
      </c>
      <c r="AG15" s="66" t="str">
        <f>IF(TableQCalcMain[[#This Row],[RowNumOfShownItems_Hard]]="","",
IF(IFERROR(
INDEX(TableQCalcMain[Extended_price],TableQCalcMain[[#This Row],[RowNumOfShownItems_Hard]]),0)=0,"",
INDEX(TableQCalcMain[Extended_price],TableQCalcMain[[#This Row],[RowNumOfShownItems_Hard]])
))</f>
        <v/>
      </c>
      <c r="AH15" s="66" t="str">
        <f t="array" ref="AH15">IFERROR(MATCH(0,COUNTIF(AB$2:$AB14,TableQCalcMain[Description])+IF(TableQCalcMain[ShowHard]=0,1,0),0),"")</f>
        <v/>
      </c>
    </row>
    <row r="16" spans="2:37" x14ac:dyDescent="0.2">
      <c r="B16" s="66" t="s">
        <v>59</v>
      </c>
      <c r="C16" s="66">
        <f>IF(TableQCalcMain[[#This Row],[Unit_Price]]&gt;0,TableQCalcMain[[#This Row],[ShowDesc?]],0)</f>
        <v>0</v>
      </c>
      <c r="D16" s="66">
        <f>IF(TableQCalcMain[[#This Row],[Unit_Price]]&gt;0,DENDRO_Option1-1,0)</f>
        <v>0</v>
      </c>
      <c r="E16" s="66"/>
      <c r="F16" s="66">
        <v>1</v>
      </c>
      <c r="G16" s="66">
        <f>TableQCalcMain[[#This Row],[ShowDesc?]]*TableQCalcMain[[#This Row],[Software]]</f>
        <v>0</v>
      </c>
      <c r="H16" s="66">
        <f>TableQCalcMain[[#This Row],[ShowDesc?]]*TableQCalcMain[[#This Row],[Hardware]]</f>
        <v>0</v>
      </c>
      <c r="I16" s="66" t="str">
        <f>WinDENDRO!$D23</f>
        <v>Blue Reflectance Target</v>
      </c>
      <c r="J16" s="66">
        <f>WinDENDRO!$I$22</f>
        <v>847330</v>
      </c>
      <c r="K16" s="66" t="str">
        <f>""</f>
        <v/>
      </c>
      <c r="L16" s="66">
        <f>ROUND(
IF(Distributeurs_Rabais,WinDENDRO!#REF!,WinDENDRO!G23),
2)</f>
        <v>0</v>
      </c>
      <c r="M16" s="66" t="str">
        <f>IFERROR(
IF(TableQCalcMain[[#This Row],[Unit_Price]]*TableQCalcMain[[#This Row],[Real_Quantity]]&gt;0,
TableQCalcMain[[#This Row],[Unit_Price]]*TableQCalcMain[[#This Row],[Real_Quantity]],""),"")</f>
        <v/>
      </c>
      <c r="N16" s="77" t="str">
        <f>IF(TableQCalcMain[[#This Row],[RowNumOfShownItems_Unsplit]]&lt;&gt;"",INDEX(TableQCalcMain[Description],TableQCalcMain[[#This Row],[RowNumOfShownItems_Unsplit]]),"")</f>
        <v/>
      </c>
      <c r="O16" s="66" t="str">
        <f>IF(TableQCalcMain[[#This Row],[RowNumOfShownItems_Unsplit]]&lt;&gt;"",INDEX(TableQCalcMain[Harmonized_Code],TableQCalcMain[[#This Row],[RowNumOfShownItems_Unsplit]]),"")</f>
        <v/>
      </c>
      <c r="P16" s="66" t="str">
        <f>IF(TableQCalcMain[[#This Row],[RowNumOfShownItems_Unsplit]]="","",INDEX(TableQCalcMain[Detailed_Ext_Price],TableQCalcMain[[#This Row],[RowNumOfShownItems_Unsplit]]))</f>
        <v/>
      </c>
      <c r="Q16" s="66" t="str">
        <f>IF(TableQCalcMain[[#This Row],[RowNumOfShownItems_Unsplit]]="","",INDEX(TableQCalcMain[Real_Quantity],TableQCalcMain[[#This Row],[RowNumOfShownItems_Unsplit]]))</f>
        <v/>
      </c>
      <c r="R16" s="66" t="str">
        <f>IF(TableQCalcMain[[#This Row],[RowNumOfShownItems_Unsplit]]="","",
IF(IFERROR(
INDEX(TableQCalcMain[Unit_Price],TableQCalcMain[[#This Row],[RowNumOfShownItems_Unsplit]]),0)=0,"",
INDEX(TableQCalcMain[Unit_Price],TableQCalcMain[[#This Row],[RowNumOfShownItems_Unsplit]])
))</f>
        <v/>
      </c>
      <c r="S16" s="66" t="str">
        <f>IF(TableQCalcMain[[#This Row],[RowNumOfShownItems_Unsplit]]="","",
IF(IFERROR(
INDEX(TableQCalcMain[Extended_price],TableQCalcMain[[#This Row],[RowNumOfShownItems_Unsplit]]),0)=0,"",
INDEX(TableQCalcMain[Extended_price],TableQCalcMain[[#This Row],[RowNumOfShownItems_Unsplit]])
))</f>
        <v/>
      </c>
      <c r="T16" t="str">
        <f t="array" ref="T16">IFERROR(MATCH(0,COUNTIF(N$2:$N15,TableQCalcMain[Description])+IF(TableQCalcMain[ShowDesc?]=0,1,0),0),"")</f>
        <v/>
      </c>
      <c r="U16" s="66" t="str">
        <f>IF(TableQCalcMain[[#This Row],[RowNumOfShownItems_SOFT]]&lt;&gt;"",INDEX(TableQCalcMain[Description],TableQCalcMain[[#This Row],[RowNumOfShownItems_SOFT]]),"")</f>
        <v/>
      </c>
      <c r="V16" s="66" t="str">
        <f>IF(TableQCalcMain[[#This Row],[RowNumOfShownItems_SOFT]]&lt;&gt;"",INDEX(TableQCalcMain[Harmonized_Code],TableQCalcMain[[#This Row],[RowNumOfShownItems_SOFT]]),"")</f>
        <v/>
      </c>
      <c r="W16" s="66" t="str">
        <f>IF(TableQCalcMain[[#This Row],[RowNumOfShownItems_SOFT]]="","",INDEX(TableQCalcMain[Detailed_Ext_Price],TableQCalcMain[[#This Row],[RowNumOfShownItems_SOFT]]))</f>
        <v/>
      </c>
      <c r="X16" s="66" t="str">
        <f>IF(TableQCalcMain[[#This Row],[RowNumOfShownItems_SOFT]]="","",INDEX(TableQCalcMain[Real_Quantity],TableQCalcMain[[#This Row],[RowNumOfShownItems_SOFT]]))</f>
        <v/>
      </c>
      <c r="Y16" s="66" t="str">
        <f>IF(TableQCalcMain[[#This Row],[RowNumOfShownItems_SOFT]]="","",INDEX(TableQCalcMain[Unit_Price],TableQCalcMain[[#This Row],[RowNumOfShownItems_SOFT]]))</f>
        <v/>
      </c>
      <c r="Z16" s="66" t="str">
        <f>IF(TableQCalcMain[[#This Row],[RowNumOfShownItems_SOFT]]="","",INDEX(TableQCalcMain[Extended_price],TableQCalcMain[[#This Row],[RowNumOfShownItems_SOFT]]))</f>
        <v/>
      </c>
      <c r="AA16" t="str">
        <f t="array" ref="AA16">IFERROR(MATCH(0,COUNTIF(U$2:$U15,TableQCalcMain[Description])+IF(TableQCalcMain[ShowSoft]=0,1,0),0),"")</f>
        <v/>
      </c>
      <c r="AB16" s="66" t="str">
        <f>IF(TableQCalcMain[[#This Row],[RowNumOfShownItems_Hard]]&lt;&gt;"",INDEX(TableQCalcMain[Description],TableQCalcMain[[#This Row],[RowNumOfShownItems_Hard]]),"")</f>
        <v/>
      </c>
      <c r="AC16" s="66" t="str">
        <f>IF(TableQCalcMain[[#This Row],[RowNumOfShownItems_Hard]]&lt;&gt;"",INDEX(TableQCalcMain[Harmonized_Code],TableQCalcMain[[#This Row],[RowNumOfShownItems_Hard]]),"")</f>
        <v/>
      </c>
      <c r="AD16" s="66" t="str">
        <f>IF(TableQCalcMain[[#This Row],[RowNumOfShownItems_Hard]]="","",INDEX(TableQCalcMain[Detailed_Ext_Price],TableQCalcMain[[#This Row],[RowNumOfShownItems_Hard]]))</f>
        <v/>
      </c>
      <c r="AE16" s="66" t="str">
        <f>IF(TableQCalcMain[[#This Row],[RowNumOfShownItems_Hard]]="","",INDEX(TableQCalcMain[Real_Quantity],TableQCalcMain[[#This Row],[RowNumOfShownItems_Hard]]))</f>
        <v/>
      </c>
      <c r="AF16" s="66" t="str">
        <f>IF(TableQCalcMain[[#This Row],[RowNumOfShownItems_Hard]]="","",
IF(IFERROR(
INDEX(TableQCalcMain[Unit_Price],TableQCalcMain[[#This Row],[RowNumOfShownItems_Hard]]),0)=0,"",
INDEX(TableQCalcMain[Unit_Price],TableQCalcMain[[#This Row],[RowNumOfShownItems_Hard]])
))</f>
        <v/>
      </c>
      <c r="AG16" s="66" t="str">
        <f>IF(TableQCalcMain[[#This Row],[RowNumOfShownItems_Hard]]="","",
IF(IFERROR(
INDEX(TableQCalcMain[Extended_price],TableQCalcMain[[#This Row],[RowNumOfShownItems_Hard]]),0)=0,"",
INDEX(TableQCalcMain[Extended_price],TableQCalcMain[[#This Row],[RowNumOfShownItems_Hard]])
))</f>
        <v/>
      </c>
      <c r="AH16" s="66" t="str">
        <f t="array" ref="AH16">IFERROR(MATCH(0,COUNTIF(AB$2:$AB15,TableQCalcMain[Description])+IF(TableQCalcMain[ShowHard]=0,1,0),0),"")</f>
        <v/>
      </c>
    </row>
    <row r="17" spans="2:34" x14ac:dyDescent="0.2">
      <c r="B17" s="66" t="s">
        <v>60</v>
      </c>
      <c r="C17" s="66">
        <f>IF(TableQCalcMain[[#This Row],[Unit_Price]]&gt;0,TableQCalcMain[[#This Row],[ShowDesc?]],"")</f>
        <v>0</v>
      </c>
      <c r="D17" s="66">
        <f>IF(TableQCalcMain[[#This Row],[Unit_Price]]&gt;0,DENDRO_Option2-1,0)</f>
        <v>0</v>
      </c>
      <c r="E17" s="66"/>
      <c r="F17" s="66">
        <v>1</v>
      </c>
      <c r="G17" s="66">
        <f>TableQCalcMain[[#This Row],[ShowDesc?]]*TableQCalcMain[[#This Row],[Software]]</f>
        <v>0</v>
      </c>
      <c r="H17" s="66">
        <f>TableQCalcMain[[#This Row],[ShowDesc?]]*TableQCalcMain[[#This Row],[Hardware]]</f>
        <v>0</v>
      </c>
      <c r="I17" s="66" t="str">
        <f>WinDENDRO!$D24</f>
        <v>22 cm Core Holder (for STD &amp; LA scanners)</v>
      </c>
      <c r="J17" s="66">
        <f>J16</f>
        <v>847330</v>
      </c>
      <c r="K17" s="66" t="str">
        <f>""</f>
        <v/>
      </c>
      <c r="L17" s="66">
        <f>ROUND(
IF(Distributeurs_Rabais,WinDENDRO!#REF!,WinDENDRO!G24),
2)</f>
        <v>163</v>
      </c>
      <c r="M17" s="66" t="str">
        <f>IFERROR(
IF(TableQCalcMain[[#This Row],[Unit_Price]]*TableQCalcMain[[#This Row],[Real_Quantity]]&gt;0,
TableQCalcMain[[#This Row],[Unit_Price]]*TableQCalcMain[[#This Row],[Real_Quantity]],""),"")</f>
        <v/>
      </c>
      <c r="N17" s="77" t="str">
        <f>IF(TableQCalcMain[[#This Row],[RowNumOfShownItems_Unsplit]]&lt;&gt;"",INDEX(TableQCalcMain[Description],TableQCalcMain[[#This Row],[RowNumOfShownItems_Unsplit]]),"")</f>
        <v/>
      </c>
      <c r="O17" s="66" t="str">
        <f>IF(TableQCalcMain[[#This Row],[RowNumOfShownItems_Unsplit]]&lt;&gt;"",INDEX(TableQCalcMain[Harmonized_Code],TableQCalcMain[[#This Row],[RowNumOfShownItems_Unsplit]]),"")</f>
        <v/>
      </c>
      <c r="P17" s="66" t="str">
        <f>IF(TableQCalcMain[[#This Row],[RowNumOfShownItems_Unsplit]]="","",INDEX(TableQCalcMain[Detailed_Ext_Price],TableQCalcMain[[#This Row],[RowNumOfShownItems_Unsplit]]))</f>
        <v/>
      </c>
      <c r="Q17" s="66" t="str">
        <f>IF(TableQCalcMain[[#This Row],[RowNumOfShownItems_Unsplit]]="","",INDEX(TableQCalcMain[Real_Quantity],TableQCalcMain[[#This Row],[RowNumOfShownItems_Unsplit]]))</f>
        <v/>
      </c>
      <c r="R17" s="66" t="str">
        <f>IF(TableQCalcMain[[#This Row],[RowNumOfShownItems_Unsplit]]="","",
IF(IFERROR(
INDEX(TableQCalcMain[Unit_Price],TableQCalcMain[[#This Row],[RowNumOfShownItems_Unsplit]]),0)=0,"",
INDEX(TableQCalcMain[Unit_Price],TableQCalcMain[[#This Row],[RowNumOfShownItems_Unsplit]])
))</f>
        <v/>
      </c>
      <c r="S17" s="66" t="str">
        <f>IF(TableQCalcMain[[#This Row],[RowNumOfShownItems_Unsplit]]="","",
IF(IFERROR(
INDEX(TableQCalcMain[Extended_price],TableQCalcMain[[#This Row],[RowNumOfShownItems_Unsplit]]),0)=0,"",
INDEX(TableQCalcMain[Extended_price],TableQCalcMain[[#This Row],[RowNumOfShownItems_Unsplit]])
))</f>
        <v/>
      </c>
      <c r="T17" t="str">
        <f t="array" ref="T17">IFERROR(MATCH(0,COUNTIF(N$2:$N16,TableQCalcMain[Description])+IF(TableQCalcMain[ShowDesc?]=0,1,0),0),"")</f>
        <v/>
      </c>
      <c r="U17" s="66" t="str">
        <f>IF(TableQCalcMain[[#This Row],[RowNumOfShownItems_SOFT]]&lt;&gt;"",INDEX(TableQCalcMain[Description],TableQCalcMain[[#This Row],[RowNumOfShownItems_SOFT]]),"")</f>
        <v/>
      </c>
      <c r="V17" s="66" t="str">
        <f>IF(TableQCalcMain[[#This Row],[RowNumOfShownItems_SOFT]]&lt;&gt;"",INDEX(TableQCalcMain[Harmonized_Code],TableQCalcMain[[#This Row],[RowNumOfShownItems_SOFT]]),"")</f>
        <v/>
      </c>
      <c r="W17" s="66" t="str">
        <f>IF(TableQCalcMain[[#This Row],[RowNumOfShownItems_SOFT]]="","",INDEX(TableQCalcMain[Detailed_Ext_Price],TableQCalcMain[[#This Row],[RowNumOfShownItems_SOFT]]))</f>
        <v/>
      </c>
      <c r="X17" s="66" t="str">
        <f>IF(TableQCalcMain[[#This Row],[RowNumOfShownItems_SOFT]]="","",INDEX(TableQCalcMain[Real_Quantity],TableQCalcMain[[#This Row],[RowNumOfShownItems_SOFT]]))</f>
        <v/>
      </c>
      <c r="Y17" s="66" t="str">
        <f>IF(TableQCalcMain[[#This Row],[RowNumOfShownItems_SOFT]]="","",INDEX(TableQCalcMain[Unit_Price],TableQCalcMain[[#This Row],[RowNumOfShownItems_SOFT]]))</f>
        <v/>
      </c>
      <c r="Z17" s="66" t="str">
        <f>IF(TableQCalcMain[[#This Row],[RowNumOfShownItems_SOFT]]="","",INDEX(TableQCalcMain[Extended_price],TableQCalcMain[[#This Row],[RowNumOfShownItems_SOFT]]))</f>
        <v/>
      </c>
      <c r="AA17" t="str">
        <f t="array" ref="AA17">IFERROR(MATCH(0,COUNTIF(U$2:$U16,TableQCalcMain[Description])+IF(TableQCalcMain[ShowSoft]=0,1,0),0),"")</f>
        <v/>
      </c>
      <c r="AB17" s="66" t="str">
        <f>IF(TableQCalcMain[[#This Row],[RowNumOfShownItems_Hard]]&lt;&gt;"",INDEX(TableQCalcMain[Description],TableQCalcMain[[#This Row],[RowNumOfShownItems_Hard]]),"")</f>
        <v/>
      </c>
      <c r="AC17" s="66" t="str">
        <f>IF(TableQCalcMain[[#This Row],[RowNumOfShownItems_Hard]]&lt;&gt;"",INDEX(TableQCalcMain[Harmonized_Code],TableQCalcMain[[#This Row],[RowNumOfShownItems_Hard]]),"")</f>
        <v/>
      </c>
      <c r="AD17" s="66" t="str">
        <f>IF(TableQCalcMain[[#This Row],[RowNumOfShownItems_Hard]]="","",INDEX(TableQCalcMain[Detailed_Ext_Price],TableQCalcMain[[#This Row],[RowNumOfShownItems_Hard]]))</f>
        <v/>
      </c>
      <c r="AE17" s="66" t="str">
        <f>IF(TableQCalcMain[[#This Row],[RowNumOfShownItems_Hard]]="","",INDEX(TableQCalcMain[Real_Quantity],TableQCalcMain[[#This Row],[RowNumOfShownItems_Hard]]))</f>
        <v/>
      </c>
      <c r="AF17" s="66" t="str">
        <f>IF(TableQCalcMain[[#This Row],[RowNumOfShownItems_Hard]]="","",
IF(IFERROR(
INDEX(TableQCalcMain[Unit_Price],TableQCalcMain[[#This Row],[RowNumOfShownItems_Hard]]),0)=0,"",
INDEX(TableQCalcMain[Unit_Price],TableQCalcMain[[#This Row],[RowNumOfShownItems_Hard]])
))</f>
        <v/>
      </c>
      <c r="AG17" s="66" t="str">
        <f>IF(TableQCalcMain[[#This Row],[RowNumOfShownItems_Hard]]="","",
IF(IFERROR(
INDEX(TableQCalcMain[Extended_price],TableQCalcMain[[#This Row],[RowNumOfShownItems_Hard]]),0)=0,"",
INDEX(TableQCalcMain[Extended_price],TableQCalcMain[[#This Row],[RowNumOfShownItems_Hard]])
))</f>
        <v/>
      </c>
      <c r="AH17" s="66" t="str">
        <f t="array" ref="AH17">IFERROR(MATCH(0,COUNTIF(AB$2:$AB16,TableQCalcMain[Description])+IF(TableQCalcMain[ShowHard]=0,1,0),0),"")</f>
        <v/>
      </c>
    </row>
    <row r="18" spans="2:34" x14ac:dyDescent="0.2">
      <c r="B18" s="66" t="s">
        <v>61</v>
      </c>
      <c r="C18" s="66">
        <f>IF(TableQCalcMain[[#This Row],[Unit_Price]]&gt;0,TableQCalcMain[[#This Row],[ShowDesc?]],0)</f>
        <v>0</v>
      </c>
      <c r="D18" s="66">
        <f>IF(TableQCalcMain[[#This Row],[Unit_Price]]&gt;0,DENDRO_Option3-1,0)</f>
        <v>0</v>
      </c>
      <c r="E18" s="66"/>
      <c r="F18" s="66">
        <v>1</v>
      </c>
      <c r="G18" s="66">
        <f>TableQCalcMain[[#This Row],[ShowDesc?]]*TableQCalcMain[[#This Row],[Software]]</f>
        <v>0</v>
      </c>
      <c r="H18" s="66">
        <f>TableQCalcMain[[#This Row],[ShowDesc?]]*TableQCalcMain[[#This Row],[Hardware]]</f>
        <v>0</v>
      </c>
      <c r="I18" s="66" t="str">
        <f>WinDENDRO!$D25</f>
        <v>36 cm Core Holder (for LA scanner only)</v>
      </c>
      <c r="J18" s="66">
        <f>J16</f>
        <v>847330</v>
      </c>
      <c r="K18" s="66" t="str">
        <f>""</f>
        <v/>
      </c>
      <c r="L18" s="66">
        <f>ROUND(
IF(Distributeurs_Rabais,WinDENDRO!#REF!,WinDENDRO!G25),
2)</f>
        <v>0</v>
      </c>
      <c r="M18" s="66" t="str">
        <f>IFERROR(
IF(TableQCalcMain[[#This Row],[Unit_Price]]*TableQCalcMain[[#This Row],[Real_Quantity]]&gt;0,
TableQCalcMain[[#This Row],[Unit_Price]]*TableQCalcMain[[#This Row],[Real_Quantity]],""),"")</f>
        <v/>
      </c>
      <c r="N18" s="77" t="str">
        <f>IF(TableQCalcMain[[#This Row],[RowNumOfShownItems_Unsplit]]&lt;&gt;"",INDEX(TableQCalcMain[Description],TableQCalcMain[[#This Row],[RowNumOfShownItems_Unsplit]]),"")</f>
        <v/>
      </c>
      <c r="O18" s="66" t="str">
        <f>IF(TableQCalcMain[[#This Row],[RowNumOfShownItems_Unsplit]]&lt;&gt;"",INDEX(TableQCalcMain[Harmonized_Code],TableQCalcMain[[#This Row],[RowNumOfShownItems_Unsplit]]),"")</f>
        <v/>
      </c>
      <c r="P18" s="66" t="str">
        <f>IF(TableQCalcMain[[#This Row],[RowNumOfShownItems_Unsplit]]="","",INDEX(TableQCalcMain[Detailed_Ext_Price],TableQCalcMain[[#This Row],[RowNumOfShownItems_Unsplit]]))</f>
        <v/>
      </c>
      <c r="Q18" s="66" t="str">
        <f>IF(TableQCalcMain[[#This Row],[RowNumOfShownItems_Unsplit]]="","",INDEX(TableQCalcMain[Real_Quantity],TableQCalcMain[[#This Row],[RowNumOfShownItems_Unsplit]]))</f>
        <v/>
      </c>
      <c r="R18" s="66" t="str">
        <f>IF(TableQCalcMain[[#This Row],[RowNumOfShownItems_Unsplit]]="","",
IF(IFERROR(
INDEX(TableQCalcMain[Unit_Price],TableQCalcMain[[#This Row],[RowNumOfShownItems_Unsplit]]),0)=0,"",
INDEX(TableQCalcMain[Unit_Price],TableQCalcMain[[#This Row],[RowNumOfShownItems_Unsplit]])
))</f>
        <v/>
      </c>
      <c r="S18" s="66" t="str">
        <f>IF(TableQCalcMain[[#This Row],[RowNumOfShownItems_Unsplit]]="","",
IF(IFERROR(
INDEX(TableQCalcMain[Extended_price],TableQCalcMain[[#This Row],[RowNumOfShownItems_Unsplit]]),0)=0,"",
INDEX(TableQCalcMain[Extended_price],TableQCalcMain[[#This Row],[RowNumOfShownItems_Unsplit]])
))</f>
        <v/>
      </c>
      <c r="T18" t="str">
        <f t="array" ref="T18">IFERROR(MATCH(0,COUNTIF(N$2:$N17,TableQCalcMain[Description])+IF(TableQCalcMain[ShowDesc?]=0,1,0),0),"")</f>
        <v/>
      </c>
      <c r="U18" s="66" t="str">
        <f>IF(TableQCalcMain[[#This Row],[RowNumOfShownItems_SOFT]]&lt;&gt;"",INDEX(TableQCalcMain[Description],TableQCalcMain[[#This Row],[RowNumOfShownItems_SOFT]]),"")</f>
        <v/>
      </c>
      <c r="V18" s="66" t="str">
        <f>IF(TableQCalcMain[[#This Row],[RowNumOfShownItems_SOFT]]&lt;&gt;"",INDEX(TableQCalcMain[Harmonized_Code],TableQCalcMain[[#This Row],[RowNumOfShownItems_SOFT]]),"")</f>
        <v/>
      </c>
      <c r="W18" s="66" t="str">
        <f>IF(TableQCalcMain[[#This Row],[RowNumOfShownItems_SOFT]]="","",INDEX(TableQCalcMain[Detailed_Ext_Price],TableQCalcMain[[#This Row],[RowNumOfShownItems_SOFT]]))</f>
        <v/>
      </c>
      <c r="X18" s="66" t="str">
        <f>IF(TableQCalcMain[[#This Row],[RowNumOfShownItems_SOFT]]="","",INDEX(TableQCalcMain[Real_Quantity],TableQCalcMain[[#This Row],[RowNumOfShownItems_SOFT]]))</f>
        <v/>
      </c>
      <c r="Y18" s="66" t="str">
        <f>IF(TableQCalcMain[[#This Row],[RowNumOfShownItems_SOFT]]="","",INDEX(TableQCalcMain[Unit_Price],TableQCalcMain[[#This Row],[RowNumOfShownItems_SOFT]]))</f>
        <v/>
      </c>
      <c r="Z18" s="66" t="str">
        <f>IF(TableQCalcMain[[#This Row],[RowNumOfShownItems_SOFT]]="","",INDEX(TableQCalcMain[Extended_price],TableQCalcMain[[#This Row],[RowNumOfShownItems_SOFT]]))</f>
        <v/>
      </c>
      <c r="AA18" t="str">
        <f t="array" ref="AA18">IFERROR(MATCH(0,COUNTIF(U$2:$U17,TableQCalcMain[Description])+IF(TableQCalcMain[ShowSoft]=0,1,0),0),"")</f>
        <v/>
      </c>
      <c r="AB18" s="66" t="str">
        <f>IF(TableQCalcMain[[#This Row],[RowNumOfShownItems_Hard]]&lt;&gt;"",INDEX(TableQCalcMain[Description],TableQCalcMain[[#This Row],[RowNumOfShownItems_Hard]]),"")</f>
        <v/>
      </c>
      <c r="AC18" s="66" t="str">
        <f>IF(TableQCalcMain[[#This Row],[RowNumOfShownItems_Hard]]&lt;&gt;"",INDEX(TableQCalcMain[Harmonized_Code],TableQCalcMain[[#This Row],[RowNumOfShownItems_Hard]]),"")</f>
        <v/>
      </c>
      <c r="AD18" s="66" t="str">
        <f>IF(TableQCalcMain[[#This Row],[RowNumOfShownItems_Hard]]="","",INDEX(TableQCalcMain[Detailed_Ext_Price],TableQCalcMain[[#This Row],[RowNumOfShownItems_Hard]]))</f>
        <v/>
      </c>
      <c r="AE18" s="66" t="str">
        <f>IF(TableQCalcMain[[#This Row],[RowNumOfShownItems_Hard]]="","",INDEX(TableQCalcMain[Real_Quantity],TableQCalcMain[[#This Row],[RowNumOfShownItems_Hard]]))</f>
        <v/>
      </c>
      <c r="AF18" s="66" t="str">
        <f>IF(TableQCalcMain[[#This Row],[RowNumOfShownItems_Hard]]="","",
IF(IFERROR(
INDEX(TableQCalcMain[Unit_Price],TableQCalcMain[[#This Row],[RowNumOfShownItems_Hard]]),0)=0,"",
INDEX(TableQCalcMain[Unit_Price],TableQCalcMain[[#This Row],[RowNumOfShownItems_Hard]])
))</f>
        <v/>
      </c>
      <c r="AG18" s="66" t="str">
        <f>IF(TableQCalcMain[[#This Row],[RowNumOfShownItems_Hard]]="","",
IF(IFERROR(
INDEX(TableQCalcMain[Extended_price],TableQCalcMain[[#This Row],[RowNumOfShownItems_Hard]]),0)=0,"",
INDEX(TableQCalcMain[Extended_price],TableQCalcMain[[#This Row],[RowNumOfShownItems_Hard]])
))</f>
        <v/>
      </c>
      <c r="AH18" s="66" t="str">
        <f t="array" ref="AH18">IFERROR(MATCH(0,COUNTIF(AB$2:$AB17,TableQCalcMain[Description])+IF(TableQCalcMain[ShowHard]=0,1,0),0),"")</f>
        <v/>
      </c>
    </row>
    <row r="19" spans="2:34" x14ac:dyDescent="0.2">
      <c r="B19" s="66" t="s">
        <v>62</v>
      </c>
      <c r="C19" s="66" t="str">
        <f>IF(TableQCalcMain[[#This Row],[Unit_Price]]&gt;0,TableQCalcMain[[#This Row],[ShowDesc?]],"")</f>
        <v/>
      </c>
      <c r="D19" s="66">
        <f>IF(TableQCalcMain[[#This Row],[Unit_Price]]&gt;0,DENDRO_Option4-1,0)</f>
        <v>0</v>
      </c>
      <c r="E19" s="66"/>
      <c r="F19" s="66">
        <v>1</v>
      </c>
      <c r="G19" s="66">
        <f>TableQCalcMain[[#This Row],[ShowDesc?]]*TableQCalcMain[[#This Row],[Software]]</f>
        <v>0</v>
      </c>
      <c r="H19" s="66">
        <f>TableQCalcMain[[#This Row],[ShowDesc?]]*TableQCalcMain[[#This Row],[Hardware]]</f>
        <v>0</v>
      </c>
      <c r="I19" s="66" t="str">
        <f>WinDENDRO!$D26</f>
        <v>Core Positioner (for LA scanner only)</v>
      </c>
      <c r="J19" s="66">
        <f>J16</f>
        <v>847330</v>
      </c>
      <c r="K19" s="66" t="str">
        <f>""</f>
        <v/>
      </c>
      <c r="L19" s="66">
        <f>ROUND(
IF(Distributeurs_Rabais,WinDENDRO!#REF!,WinDENDRO!G26),
2)</f>
        <v>0</v>
      </c>
      <c r="M19" s="66" t="str">
        <f>IFERROR(
IF(TableQCalcMain[[#This Row],[Unit_Price]]*TableQCalcMain[[#This Row],[Real_Quantity]]&gt;0,
TableQCalcMain[[#This Row],[Unit_Price]]*TableQCalcMain[[#This Row],[Real_Quantity]],""),"")</f>
        <v/>
      </c>
      <c r="N19" s="77" t="str">
        <f>IF(TableQCalcMain[[#This Row],[RowNumOfShownItems_Unsplit]]&lt;&gt;"",INDEX(TableQCalcMain[Description],TableQCalcMain[[#This Row],[RowNumOfShownItems_Unsplit]]),"")</f>
        <v/>
      </c>
      <c r="O19" s="66" t="str">
        <f>IF(TableQCalcMain[[#This Row],[RowNumOfShownItems_Unsplit]]&lt;&gt;"",INDEX(TableQCalcMain[Harmonized_Code],TableQCalcMain[[#This Row],[RowNumOfShownItems_Unsplit]]),"")</f>
        <v/>
      </c>
      <c r="P19" s="66" t="str">
        <f>IF(TableQCalcMain[[#This Row],[RowNumOfShownItems_Unsplit]]="","",INDEX(TableQCalcMain[Detailed_Ext_Price],TableQCalcMain[[#This Row],[RowNumOfShownItems_Unsplit]]))</f>
        <v/>
      </c>
      <c r="Q19" s="66" t="str">
        <f>IF(TableQCalcMain[[#This Row],[RowNumOfShownItems_Unsplit]]="","",INDEX(TableQCalcMain[Real_Quantity],TableQCalcMain[[#This Row],[RowNumOfShownItems_Unsplit]]))</f>
        <v/>
      </c>
      <c r="R19" s="66" t="str">
        <f>IF(TableQCalcMain[[#This Row],[RowNumOfShownItems_Unsplit]]="","",
IF(IFERROR(
INDEX(TableQCalcMain[Unit_Price],TableQCalcMain[[#This Row],[RowNumOfShownItems_Unsplit]]),0)=0,"",
INDEX(TableQCalcMain[Unit_Price],TableQCalcMain[[#This Row],[RowNumOfShownItems_Unsplit]])
))</f>
        <v/>
      </c>
      <c r="S19" s="66" t="str">
        <f>IF(TableQCalcMain[[#This Row],[RowNumOfShownItems_Unsplit]]="","",
IF(IFERROR(
INDEX(TableQCalcMain[Extended_price],TableQCalcMain[[#This Row],[RowNumOfShownItems_Unsplit]]),0)=0,"",
INDEX(TableQCalcMain[Extended_price],TableQCalcMain[[#This Row],[RowNumOfShownItems_Unsplit]])
))</f>
        <v/>
      </c>
      <c r="T19" t="str">
        <f t="array" ref="T19">IFERROR(MATCH(0,COUNTIF(N$2:$N18,TableQCalcMain[Description])+IF(TableQCalcMain[ShowDesc?]=0,1,0),0),"")</f>
        <v/>
      </c>
      <c r="U19" s="66" t="str">
        <f>IF(TableQCalcMain[[#This Row],[RowNumOfShownItems_SOFT]]&lt;&gt;"",INDEX(TableQCalcMain[Description],TableQCalcMain[[#This Row],[RowNumOfShownItems_SOFT]]),"")</f>
        <v/>
      </c>
      <c r="V19" s="66" t="str">
        <f>IF(TableQCalcMain[[#This Row],[RowNumOfShownItems_SOFT]]&lt;&gt;"",INDEX(TableQCalcMain[Harmonized_Code],TableQCalcMain[[#This Row],[RowNumOfShownItems_SOFT]]),"")</f>
        <v/>
      </c>
      <c r="W19" s="66" t="str">
        <f>IF(TableQCalcMain[[#This Row],[RowNumOfShownItems_SOFT]]="","",INDEX(TableQCalcMain[Detailed_Ext_Price],TableQCalcMain[[#This Row],[RowNumOfShownItems_SOFT]]))</f>
        <v/>
      </c>
      <c r="X19" s="66" t="str">
        <f>IF(TableQCalcMain[[#This Row],[RowNumOfShownItems_SOFT]]="","",INDEX(TableQCalcMain[Real_Quantity],TableQCalcMain[[#This Row],[RowNumOfShownItems_SOFT]]))</f>
        <v/>
      </c>
      <c r="Y19" s="66" t="str">
        <f>IF(TableQCalcMain[[#This Row],[RowNumOfShownItems_SOFT]]="","",INDEX(TableQCalcMain[Unit_Price],TableQCalcMain[[#This Row],[RowNumOfShownItems_SOFT]]))</f>
        <v/>
      </c>
      <c r="Z19" s="66" t="str">
        <f>IF(TableQCalcMain[[#This Row],[RowNumOfShownItems_SOFT]]="","",INDEX(TableQCalcMain[Extended_price],TableQCalcMain[[#This Row],[RowNumOfShownItems_SOFT]]))</f>
        <v/>
      </c>
      <c r="AA19" t="str">
        <f t="array" ref="AA19">IFERROR(MATCH(0,COUNTIF(U$2:$U18,TableQCalcMain[Description])+IF(TableQCalcMain[ShowSoft]=0,1,0),0),"")</f>
        <v/>
      </c>
      <c r="AB19" s="66" t="str">
        <f>IF(TableQCalcMain[[#This Row],[RowNumOfShownItems_Hard]]&lt;&gt;"",INDEX(TableQCalcMain[Description],TableQCalcMain[[#This Row],[RowNumOfShownItems_Hard]]),"")</f>
        <v/>
      </c>
      <c r="AC19" s="66" t="str">
        <f>IF(TableQCalcMain[[#This Row],[RowNumOfShownItems_Hard]]&lt;&gt;"",INDEX(TableQCalcMain[Harmonized_Code],TableQCalcMain[[#This Row],[RowNumOfShownItems_Hard]]),"")</f>
        <v/>
      </c>
      <c r="AD19" s="66" t="str">
        <f>IF(TableQCalcMain[[#This Row],[RowNumOfShownItems_Hard]]="","",INDEX(TableQCalcMain[Detailed_Ext_Price],TableQCalcMain[[#This Row],[RowNumOfShownItems_Hard]]))</f>
        <v/>
      </c>
      <c r="AE19" s="66" t="str">
        <f>IF(TableQCalcMain[[#This Row],[RowNumOfShownItems_Hard]]="","",INDEX(TableQCalcMain[Real_Quantity],TableQCalcMain[[#This Row],[RowNumOfShownItems_Hard]]))</f>
        <v/>
      </c>
      <c r="AF19" s="66" t="str">
        <f>IF(TableQCalcMain[[#This Row],[RowNumOfShownItems_Hard]]="","",
IF(IFERROR(
INDEX(TableQCalcMain[Unit_Price],TableQCalcMain[[#This Row],[RowNumOfShownItems_Hard]]),0)=0,"",
INDEX(TableQCalcMain[Unit_Price],TableQCalcMain[[#This Row],[RowNumOfShownItems_Hard]])
))</f>
        <v/>
      </c>
      <c r="AG19" s="66" t="str">
        <f>IF(TableQCalcMain[[#This Row],[RowNumOfShownItems_Hard]]="","",
IF(IFERROR(
INDEX(TableQCalcMain[Extended_price],TableQCalcMain[[#This Row],[RowNumOfShownItems_Hard]]),0)=0,"",
INDEX(TableQCalcMain[Extended_price],TableQCalcMain[[#This Row],[RowNumOfShownItems_Hard]])
))</f>
        <v/>
      </c>
      <c r="AH19" s="66" t="str">
        <f t="array" ref="AH19">IFERROR(MATCH(0,COUNTIF(AB$2:$AB18,TableQCalcMain[Description])+IF(TableQCalcMain[ShowHard]=0,1,0),0),"")</f>
        <v/>
      </c>
    </row>
    <row r="20" spans="2:34" x14ac:dyDescent="0.2">
      <c r="B20" s="66" t="s">
        <v>158</v>
      </c>
      <c r="C20" s="66">
        <f>IF(TableQCalcMain[[#This Row],[Unit_Price]]&gt;0,TableQCalcMain[[#This Row],[ShowDesc?]],"")</f>
        <v>0</v>
      </c>
      <c r="D20" s="66">
        <f>IF(TableQCalcMain[[#This Row],[Unit_Price]]&gt;0,DENDRO_Option5-1,0)</f>
        <v>0</v>
      </c>
      <c r="E20" s="66"/>
      <c r="F20" s="66">
        <v>1</v>
      </c>
      <c r="G20" s="66">
        <f>TableQCalcMain[[#This Row],[ShowDesc?]]*TableQCalcMain[[#This Row],[Software]]</f>
        <v>0</v>
      </c>
      <c r="H20" s="66">
        <f>TableQCalcMain[[#This Row],[ShowDesc?]]*TableQCalcMain[[#This Row],[Hardware]]</f>
        <v>0</v>
      </c>
      <c r="I20" s="66" t="str">
        <f>WinDENDRO!$D27</f>
        <v>Core Positioner (for STD scanner only)</v>
      </c>
      <c r="J20" s="66">
        <f>J16</f>
        <v>847330</v>
      </c>
      <c r="K20" s="66" t="str">
        <f>""</f>
        <v/>
      </c>
      <c r="L20" s="66">
        <f>ROUND(
IF(Distributeurs_Rabais,WinDENDRO!#REF!,WinDENDRO!G27),
2)</f>
        <v>37</v>
      </c>
      <c r="M20" s="66" t="str">
        <f>IFERROR(
IF(TableQCalcMain[[#This Row],[Unit_Price]]*TableQCalcMain[[#This Row],[Real_Quantity]]&gt;0,
TableQCalcMain[[#This Row],[Unit_Price]]*TableQCalcMain[[#This Row],[Real_Quantity]],""),"")</f>
        <v/>
      </c>
      <c r="N20" s="77" t="str">
        <f>IF(TableQCalcMain[[#This Row],[RowNumOfShownItems_Unsplit]]&lt;&gt;"",INDEX(TableQCalcMain[Description],TableQCalcMain[[#This Row],[RowNumOfShownItems_Unsplit]]),"")</f>
        <v/>
      </c>
      <c r="O20" s="66" t="str">
        <f>IF(TableQCalcMain[[#This Row],[RowNumOfShownItems_Unsplit]]&lt;&gt;"",INDEX(TableQCalcMain[Harmonized_Code],TableQCalcMain[[#This Row],[RowNumOfShownItems_Unsplit]]),"")</f>
        <v/>
      </c>
      <c r="P20" s="66" t="str">
        <f>IF(TableQCalcMain[[#This Row],[RowNumOfShownItems_Unsplit]]="","",INDEX(TableQCalcMain[Detailed_Ext_Price],TableQCalcMain[[#This Row],[RowNumOfShownItems_Unsplit]]))</f>
        <v/>
      </c>
      <c r="Q20" s="66" t="str">
        <f>IF(TableQCalcMain[[#This Row],[RowNumOfShownItems_Unsplit]]="","",INDEX(TableQCalcMain[Real_Quantity],TableQCalcMain[[#This Row],[RowNumOfShownItems_Unsplit]]))</f>
        <v/>
      </c>
      <c r="R20" s="66" t="str">
        <f>IF(TableQCalcMain[[#This Row],[RowNumOfShownItems_Unsplit]]="","",
IF(IFERROR(
INDEX(TableQCalcMain[Unit_Price],TableQCalcMain[[#This Row],[RowNumOfShownItems_Unsplit]]),0)=0,"",
INDEX(TableQCalcMain[Unit_Price],TableQCalcMain[[#This Row],[RowNumOfShownItems_Unsplit]])
))</f>
        <v/>
      </c>
      <c r="S20" s="66" t="str">
        <f>IF(TableQCalcMain[[#This Row],[RowNumOfShownItems_Unsplit]]="","",
IF(IFERROR(
INDEX(TableQCalcMain[Extended_price],TableQCalcMain[[#This Row],[RowNumOfShownItems_Unsplit]]),0)=0,"",
INDEX(TableQCalcMain[Extended_price],TableQCalcMain[[#This Row],[RowNumOfShownItems_Unsplit]])
))</f>
        <v/>
      </c>
      <c r="T20" t="str">
        <f t="array" ref="T20">IFERROR(MATCH(0,COUNTIF(N$2:$N19,TableQCalcMain[Description])+IF(TableQCalcMain[ShowDesc?]=0,1,0),0),"")</f>
        <v/>
      </c>
      <c r="U20" s="66" t="str">
        <f>IF(TableQCalcMain[[#This Row],[RowNumOfShownItems_SOFT]]&lt;&gt;"",INDEX(TableQCalcMain[Description],TableQCalcMain[[#This Row],[RowNumOfShownItems_SOFT]]),"")</f>
        <v/>
      </c>
      <c r="V20" s="66" t="str">
        <f>IF(TableQCalcMain[[#This Row],[RowNumOfShownItems_SOFT]]&lt;&gt;"",INDEX(TableQCalcMain[Harmonized_Code],TableQCalcMain[[#This Row],[RowNumOfShownItems_SOFT]]),"")</f>
        <v/>
      </c>
      <c r="W20" s="66" t="str">
        <f>IF(TableQCalcMain[[#This Row],[RowNumOfShownItems_SOFT]]="","",INDEX(TableQCalcMain[Detailed_Ext_Price],TableQCalcMain[[#This Row],[RowNumOfShownItems_SOFT]]))</f>
        <v/>
      </c>
      <c r="X20" s="66" t="str">
        <f>IF(TableQCalcMain[[#This Row],[RowNumOfShownItems_SOFT]]="","",INDEX(TableQCalcMain[Real_Quantity],TableQCalcMain[[#This Row],[RowNumOfShownItems_SOFT]]))</f>
        <v/>
      </c>
      <c r="Y20" s="66" t="str">
        <f>IF(TableQCalcMain[[#This Row],[RowNumOfShownItems_SOFT]]="","",INDEX(TableQCalcMain[Unit_Price],TableQCalcMain[[#This Row],[RowNumOfShownItems_SOFT]]))</f>
        <v/>
      </c>
      <c r="Z20" s="66" t="str">
        <f>IF(TableQCalcMain[[#This Row],[RowNumOfShownItems_SOFT]]="","",INDEX(TableQCalcMain[Extended_price],TableQCalcMain[[#This Row],[RowNumOfShownItems_SOFT]]))</f>
        <v/>
      </c>
      <c r="AA20" t="str">
        <f t="array" ref="AA20">IFERROR(MATCH(0,COUNTIF(U$2:$U19,TableQCalcMain[Description])+IF(TableQCalcMain[ShowSoft]=0,1,0),0),"")</f>
        <v/>
      </c>
      <c r="AB20" s="66" t="str">
        <f>IF(TableQCalcMain[[#This Row],[RowNumOfShownItems_Hard]]&lt;&gt;"",INDEX(TableQCalcMain[Description],TableQCalcMain[[#This Row],[RowNumOfShownItems_Hard]]),"")</f>
        <v/>
      </c>
      <c r="AC20" s="66" t="str">
        <f>IF(TableQCalcMain[[#This Row],[RowNumOfShownItems_Hard]]&lt;&gt;"",INDEX(TableQCalcMain[Harmonized_Code],TableQCalcMain[[#This Row],[RowNumOfShownItems_Hard]]),"")</f>
        <v/>
      </c>
      <c r="AD20" s="66" t="str">
        <f>IF(TableQCalcMain[[#This Row],[RowNumOfShownItems_Hard]]="","",INDEX(TableQCalcMain[Detailed_Ext_Price],TableQCalcMain[[#This Row],[RowNumOfShownItems_Hard]]))</f>
        <v/>
      </c>
      <c r="AE20" s="66" t="str">
        <f>IF(TableQCalcMain[[#This Row],[RowNumOfShownItems_Hard]]="","",INDEX(TableQCalcMain[Real_Quantity],TableQCalcMain[[#This Row],[RowNumOfShownItems_Hard]]))</f>
        <v/>
      </c>
      <c r="AF20" s="66" t="str">
        <f>IF(TableQCalcMain[[#This Row],[RowNumOfShownItems_Hard]]="","",
IF(IFERROR(
INDEX(TableQCalcMain[Unit_Price],TableQCalcMain[[#This Row],[RowNumOfShownItems_Hard]]),0)=0,"",
INDEX(TableQCalcMain[Unit_Price],TableQCalcMain[[#This Row],[RowNumOfShownItems_Hard]])
))</f>
        <v/>
      </c>
      <c r="AG20" s="66" t="str">
        <f>IF(TableQCalcMain[[#This Row],[RowNumOfShownItems_Hard]]="","",
IF(IFERROR(
INDEX(TableQCalcMain[Extended_price],TableQCalcMain[[#This Row],[RowNumOfShownItems_Hard]]),0)=0,"",
INDEX(TableQCalcMain[Extended_price],TableQCalcMain[[#This Row],[RowNumOfShownItems_Hard]])
))</f>
        <v/>
      </c>
      <c r="AH20" s="66" t="str">
        <f t="array" ref="AH20">IFERROR(MATCH(0,COUNTIF(AB$2:$AB19,TableQCalcMain[Description])+IF(TableQCalcMain[ShowHard]=0,1,0),0),"")</f>
        <v/>
      </c>
    </row>
    <row r="21" spans="2:34" x14ac:dyDescent="0.2">
      <c r="B21" s="679" t="s">
        <v>112</v>
      </c>
      <c r="C21" s="679" t="str">
        <f>""</f>
        <v/>
      </c>
      <c r="D21" s="679" t="e">
        <f>SUM(D3:D20)</f>
        <v>#REF!</v>
      </c>
      <c r="E21" s="679">
        <v>1</v>
      </c>
      <c r="F21" s="679">
        <v>1</v>
      </c>
      <c r="G21" s="679">
        <f>SUM(G3:G20)</f>
        <v>0</v>
      </c>
      <c r="H21" s="679">
        <f>SUM(H3:H20)</f>
        <v>0</v>
      </c>
      <c r="I21" s="679" t="str">
        <f>REPT(" ",0)</f>
        <v/>
      </c>
      <c r="J21" s="679" t="str">
        <f>""</f>
        <v/>
      </c>
      <c r="K21" s="679" t="str">
        <f>""</f>
        <v/>
      </c>
      <c r="L21" s="679" t="str">
        <f>""</f>
        <v/>
      </c>
      <c r="M21" s="679" t="str">
        <f>""</f>
        <v/>
      </c>
      <c r="N21" s="77" t="str">
        <f>IF(TableQCalcMain[[#This Row],[RowNumOfShownItems_Unsplit]]&lt;&gt;"",INDEX(TableQCalcMain[Description],TableQCalcMain[[#This Row],[RowNumOfShownItems_Unsplit]]),"")</f>
        <v/>
      </c>
      <c r="O21" s="66" t="str">
        <f>IF(TableQCalcMain[[#This Row],[RowNumOfShownItems_Unsplit]]&lt;&gt;"",INDEX(TableQCalcMain[Harmonized_Code],TableQCalcMain[[#This Row],[RowNumOfShownItems_Unsplit]]),"")</f>
        <v/>
      </c>
      <c r="P21" s="66" t="str">
        <f>IF(TableQCalcMain[[#This Row],[RowNumOfShownItems_Unsplit]]="","",INDEX(TableQCalcMain[Detailed_Ext_Price],TableQCalcMain[[#This Row],[RowNumOfShownItems_Unsplit]]))</f>
        <v/>
      </c>
      <c r="Q21" s="66" t="str">
        <f>IF(TableQCalcMain[[#This Row],[RowNumOfShownItems_Unsplit]]="","",INDEX(TableQCalcMain[Real_Quantity],TableQCalcMain[[#This Row],[RowNumOfShownItems_Unsplit]]))</f>
        <v/>
      </c>
      <c r="R21" s="66" t="str">
        <f>IF(TableQCalcMain[[#This Row],[RowNumOfShownItems_Unsplit]]="","",
IF(IFERROR(
INDEX(TableQCalcMain[Unit_Price],TableQCalcMain[[#This Row],[RowNumOfShownItems_Unsplit]]),0)=0,"",
INDEX(TableQCalcMain[Unit_Price],TableQCalcMain[[#This Row],[RowNumOfShownItems_Unsplit]])
))</f>
        <v/>
      </c>
      <c r="S21" s="66" t="str">
        <f>IF(TableQCalcMain[[#This Row],[RowNumOfShownItems_Unsplit]]="","",
IF(IFERROR(
INDEX(TableQCalcMain[Extended_price],TableQCalcMain[[#This Row],[RowNumOfShownItems_Unsplit]]),0)=0,"",
INDEX(TableQCalcMain[Extended_price],TableQCalcMain[[#This Row],[RowNumOfShownItems_Unsplit]])
))</f>
        <v/>
      </c>
      <c r="T21" t="str">
        <f t="array" ref="T21">IFERROR(MATCH(0,COUNTIF(N$2:$N20,TableQCalcMain[Description])+IF(TableQCalcMain[ShowDesc?]=0,1,0),0),"")</f>
        <v/>
      </c>
      <c r="U21" s="66" t="str">
        <f>IF(TableQCalcMain[[#This Row],[RowNumOfShownItems_SOFT]]&lt;&gt;"",INDEX(TableQCalcMain[Description],TableQCalcMain[[#This Row],[RowNumOfShownItems_SOFT]]),"")</f>
        <v/>
      </c>
      <c r="V21" s="66" t="str">
        <f>IF(TableQCalcMain[[#This Row],[RowNumOfShownItems_SOFT]]&lt;&gt;"",INDEX(TableQCalcMain[Harmonized_Code],TableQCalcMain[[#This Row],[RowNumOfShownItems_SOFT]]),"")</f>
        <v/>
      </c>
      <c r="W21" s="66" t="str">
        <f>IF(TableQCalcMain[[#This Row],[RowNumOfShownItems_SOFT]]="","",INDEX(TableQCalcMain[Detailed_Ext_Price],TableQCalcMain[[#This Row],[RowNumOfShownItems_SOFT]]))</f>
        <v/>
      </c>
      <c r="X21" s="66" t="str">
        <f>IF(TableQCalcMain[[#This Row],[RowNumOfShownItems_SOFT]]="","",INDEX(TableQCalcMain[Real_Quantity],TableQCalcMain[[#This Row],[RowNumOfShownItems_SOFT]]))</f>
        <v/>
      </c>
      <c r="Y21" s="66" t="str">
        <f>IF(TableQCalcMain[[#This Row],[RowNumOfShownItems_SOFT]]="","",INDEX(TableQCalcMain[Unit_Price],TableQCalcMain[[#This Row],[RowNumOfShownItems_SOFT]]))</f>
        <v/>
      </c>
      <c r="Z21" s="66" t="str">
        <f>IF(TableQCalcMain[[#This Row],[RowNumOfShownItems_SOFT]]="","",INDEX(TableQCalcMain[Extended_price],TableQCalcMain[[#This Row],[RowNumOfShownItems_SOFT]]))</f>
        <v/>
      </c>
      <c r="AA21" t="str">
        <f t="array" ref="AA21">IFERROR(MATCH(0,COUNTIF(U$2:$U20,TableQCalcMain[Description])+IF(TableQCalcMain[ShowSoft]=0,1,0),0),"")</f>
        <v/>
      </c>
      <c r="AB21" s="66" t="str">
        <f>IF(TableQCalcMain[[#This Row],[RowNumOfShownItems_Hard]]&lt;&gt;"",INDEX(TableQCalcMain[Description],TableQCalcMain[[#This Row],[RowNumOfShownItems_Hard]]),"")</f>
        <v/>
      </c>
      <c r="AC21" s="66" t="str">
        <f>IF(TableQCalcMain[[#This Row],[RowNumOfShownItems_Hard]]&lt;&gt;"",INDEX(TableQCalcMain[Harmonized_Code],TableQCalcMain[[#This Row],[RowNumOfShownItems_Hard]]),"")</f>
        <v/>
      </c>
      <c r="AD21" s="66" t="str">
        <f>IF(TableQCalcMain[[#This Row],[RowNumOfShownItems_Hard]]="","",INDEX(TableQCalcMain[Detailed_Ext_Price],TableQCalcMain[[#This Row],[RowNumOfShownItems_Hard]]))</f>
        <v/>
      </c>
      <c r="AE21" s="66" t="str">
        <f>IF(TableQCalcMain[[#This Row],[RowNumOfShownItems_Hard]]="","",INDEX(TableQCalcMain[Real_Quantity],TableQCalcMain[[#This Row],[RowNumOfShownItems_Hard]]))</f>
        <v/>
      </c>
      <c r="AF21" s="66" t="str">
        <f>IF(TableQCalcMain[[#This Row],[RowNumOfShownItems_Hard]]="","",
IF(IFERROR(
INDEX(TableQCalcMain[Unit_Price],TableQCalcMain[[#This Row],[RowNumOfShownItems_Hard]]),0)=0,"",
INDEX(TableQCalcMain[Unit_Price],TableQCalcMain[[#This Row],[RowNumOfShownItems_Hard]])
))</f>
        <v/>
      </c>
      <c r="AG21" s="66" t="str">
        <f>IF(TableQCalcMain[[#This Row],[RowNumOfShownItems_Hard]]="","",
IF(IFERROR(
INDEX(TableQCalcMain[Extended_price],TableQCalcMain[[#This Row],[RowNumOfShownItems_Hard]]),0)=0,"",
INDEX(TableQCalcMain[Extended_price],TableQCalcMain[[#This Row],[RowNumOfShownItems_Hard]])
))</f>
        <v/>
      </c>
      <c r="AH21" s="66" t="str">
        <f t="array" ref="AH21">IFERROR(MATCH(0,COUNTIF(AB$2:$AB20,TableQCalcMain[Description])+IF(TableQCalcMain[ShowHard]=0,1,0),0),"")</f>
        <v/>
      </c>
    </row>
    <row r="22" spans="2:34" x14ac:dyDescent="0.2">
      <c r="B22" s="66" t="s">
        <v>64</v>
      </c>
      <c r="C22" s="682">
        <f>CELL_N_Software-1</f>
        <v>0</v>
      </c>
      <c r="D22" s="66">
        <f>TableQCalcMain[[#This Row],[Real_Quantity]]</f>
        <v>0</v>
      </c>
      <c r="E22" s="66">
        <v>1</v>
      </c>
      <c r="F22" s="66"/>
      <c r="G22" s="66">
        <f>N(TableQCalcMain[[#This Row],[ShowDesc?]])*TableQCalcMain[[#This Row],[Software]]</f>
        <v>0</v>
      </c>
      <c r="H22" s="66">
        <f>N(TableQCalcMain[[#This Row],[ShowDesc?]])*TableQCalcMain[[#This Row],[Hardware]]</f>
        <v>0</v>
      </c>
      <c r="I22" s="66" t="str">
        <f>LEFT(INDEX(CELL_SoftwareFullNames,CELL_IndexSoftware),FIND(" ",INDEX(CELL_SoftwareFullNames,CELL_IndexSoftware),FIND(" ",INDEX(CELL_SoftwareFullNames,CELL_IndexSoftware))+1))&amp;
CELL_YearMostRecent &amp; " " &amp; "&amp;" &amp; " XLCell"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IF(AND(QUOTE_SameClient=TRUE,CELL_N_Software+CELL_N_AlreadyHaveSoftware&gt;3),IF(Francais," (incl. rabais multi licenses"," (incl. multi licenses discount")&amp;
" "&amp;TEXT(ROUND((INDEX(CELL_SoftwarePriceList,CELL_IndexSoftware))*((CELL_N_Software-1)-IF(CELL_N_Software-1=0,0,SUM(MMULT(
  _xlfn.MUNIT(
   CELL_N_Software-1),
    INDEX(TableLists[Column10],CELL_N_AlreadyHaveSoftware-1+2):
    INDEX(TableLists[Column10],(CELL_N_AlreadyHaveSoftware-1+1)+(CELL_N_Software-1))
))))*(1-RebateSoftware*Distributeurs_Rabais),0),"0.00")&amp;")","")</f>
        <v>WinCELL™ Reg 2025 &amp; XLCell Software on USB drive (PDF &amp; printed manuals)</v>
      </c>
      <c r="J22" s="66">
        <f>WinCELL!I11</f>
        <v>852349</v>
      </c>
      <c r="K22" s="66">
        <f>TableQCalcMain[[#This Row],[Extended_price]]</f>
        <v>0</v>
      </c>
      <c r="L22" s="66" t="str">
        <f>IF(OR(TableQCalcMain[[#This Row],[Real_Quantity]]=0,TableQCalcMain[[#This Row],[Extended_price]]=0),"",ROUND(TableQCalcMain[[#This Row],[Extended_price]]/TableQCalcMain[[#This Row],[Real_Quantity]],2))</f>
        <v/>
      </c>
      <c r="M22" s="66">
        <f>ROUND(
(INDEX(CELL_SoftwarePriceList,CELL_IndexSoftware))*
IF(CELL_N_Software-1=0,0,SUM(MMULT(
  _xlfn.MUNIT(
   CELL_N_Software-1),
    INDEX(TableLists[Column10],CELL_N_AlreadyHaveSoftware-1+2):
    INDEX(TableLists[Column10],(CELL_N_AlreadyHaveSoftware-1+1)+(CELL_N_Software-1))
))
)*((1-RebateSoftware*Distributeurs_Rabais)),0)
-IF(QUOTE_Split_SoftwareHardware,PrixUSBKey*(CELL_N_Software-1),0)</f>
        <v>0</v>
      </c>
      <c r="N22" s="77" t="str">
        <f>IF(TableQCalcMain[[#This Row],[RowNumOfShownItems_Unsplit]]&lt;&gt;"",INDEX(TableQCalcMain[Description],TableQCalcMain[[#This Row],[RowNumOfShownItems_Unsplit]]),"")</f>
        <v/>
      </c>
      <c r="O22" s="66" t="str">
        <f>IF(TableQCalcMain[[#This Row],[RowNumOfShownItems_Unsplit]]&lt;&gt;"",INDEX(TableQCalcMain[Harmonized_Code],TableQCalcMain[[#This Row],[RowNumOfShownItems_Unsplit]]),"")</f>
        <v/>
      </c>
      <c r="P22" s="66" t="str">
        <f>IF(TableQCalcMain[[#This Row],[RowNumOfShownItems_Unsplit]]="","",INDEX(TableQCalcMain[Detailed_Ext_Price],TableQCalcMain[[#This Row],[RowNumOfShownItems_Unsplit]]))</f>
        <v/>
      </c>
      <c r="Q22" s="66" t="str">
        <f>IF(TableQCalcMain[[#This Row],[RowNumOfShownItems_Unsplit]]="","",INDEX(TableQCalcMain[Real_Quantity],TableQCalcMain[[#This Row],[RowNumOfShownItems_Unsplit]]))</f>
        <v/>
      </c>
      <c r="R22" s="66" t="str">
        <f>IF(TableQCalcMain[[#This Row],[RowNumOfShownItems_Unsplit]]="","",
IF(IFERROR(
INDEX(TableQCalcMain[Unit_Price],TableQCalcMain[[#This Row],[RowNumOfShownItems_Unsplit]]),0)=0,"",
INDEX(TableQCalcMain[Unit_Price],TableQCalcMain[[#This Row],[RowNumOfShownItems_Unsplit]])
))</f>
        <v/>
      </c>
      <c r="S22" s="66" t="str">
        <f>IF(TableQCalcMain[[#This Row],[RowNumOfShownItems_Unsplit]]="","",
IF(IFERROR(
INDEX(TableQCalcMain[Extended_price],TableQCalcMain[[#This Row],[RowNumOfShownItems_Unsplit]]),0)=0,"",
INDEX(TableQCalcMain[Extended_price],TableQCalcMain[[#This Row],[RowNumOfShownItems_Unsplit]])
))</f>
        <v/>
      </c>
      <c r="T22" t="str">
        <f t="array" ref="T22">IFERROR(MATCH(0,COUNTIF(N$2:$N21,TableQCalcMain[Description])+IF(TableQCalcMain[ShowDesc?]=0,1,0),0),"")</f>
        <v/>
      </c>
      <c r="U22" s="66" t="str">
        <f>IF(TableQCalcMain[[#This Row],[RowNumOfShownItems_SOFT]]&lt;&gt;"",INDEX(TableQCalcMain[Description],TableQCalcMain[[#This Row],[RowNumOfShownItems_SOFT]]),"")</f>
        <v/>
      </c>
      <c r="V22" s="66" t="str">
        <f>IF(TableQCalcMain[[#This Row],[RowNumOfShownItems_SOFT]]&lt;&gt;"",INDEX(TableQCalcMain[Harmonized_Code],TableQCalcMain[[#This Row],[RowNumOfShownItems_SOFT]]),"")</f>
        <v/>
      </c>
      <c r="W22" s="66" t="str">
        <f>IF(TableQCalcMain[[#This Row],[RowNumOfShownItems_SOFT]]="","",INDEX(TableQCalcMain[Detailed_Ext_Price],TableQCalcMain[[#This Row],[RowNumOfShownItems_SOFT]]))</f>
        <v/>
      </c>
      <c r="X22" s="66" t="str">
        <f>IF(TableQCalcMain[[#This Row],[RowNumOfShownItems_SOFT]]="","",INDEX(TableQCalcMain[Real_Quantity],TableQCalcMain[[#This Row],[RowNumOfShownItems_SOFT]]))</f>
        <v/>
      </c>
      <c r="Y22" s="66" t="str">
        <f>IF(TableQCalcMain[[#This Row],[RowNumOfShownItems_SOFT]]="","",INDEX(TableQCalcMain[Unit_Price],TableQCalcMain[[#This Row],[RowNumOfShownItems_SOFT]]))</f>
        <v/>
      </c>
      <c r="Z22" s="66" t="str">
        <f>IF(TableQCalcMain[[#This Row],[RowNumOfShownItems_SOFT]]="","",INDEX(TableQCalcMain[Extended_price],TableQCalcMain[[#This Row],[RowNumOfShownItems_SOFT]]))</f>
        <v/>
      </c>
      <c r="AA22" t="str">
        <f t="array" ref="AA22">IFERROR(MATCH(0,COUNTIF(U$2:$U21,TableQCalcMain[Description])+IF(TableQCalcMain[ShowSoft]=0,1,0),0),"")</f>
        <v/>
      </c>
      <c r="AB22" s="66" t="str">
        <f>IF(TableQCalcMain[[#This Row],[RowNumOfShownItems_Hard]]&lt;&gt;"",INDEX(TableQCalcMain[Description],TableQCalcMain[[#This Row],[RowNumOfShownItems_Hard]]),"")</f>
        <v/>
      </c>
      <c r="AC22" s="66" t="str">
        <f>IF(TableQCalcMain[[#This Row],[RowNumOfShownItems_Hard]]&lt;&gt;"",INDEX(TableQCalcMain[Harmonized_Code],TableQCalcMain[[#This Row],[RowNumOfShownItems_Hard]]),"")</f>
        <v/>
      </c>
      <c r="AD22" s="66" t="str">
        <f>IF(TableQCalcMain[[#This Row],[RowNumOfShownItems_Hard]]="","",INDEX(TableQCalcMain[Detailed_Ext_Price],TableQCalcMain[[#This Row],[RowNumOfShownItems_Hard]]))</f>
        <v/>
      </c>
      <c r="AE22" s="66" t="str">
        <f>IF(TableQCalcMain[[#This Row],[RowNumOfShownItems_Hard]]="","",INDEX(TableQCalcMain[Real_Quantity],TableQCalcMain[[#This Row],[RowNumOfShownItems_Hard]]))</f>
        <v/>
      </c>
      <c r="AF22" s="66" t="str">
        <f>IF(TableQCalcMain[[#This Row],[RowNumOfShownItems_Hard]]="","",
IF(IFERROR(
INDEX(TableQCalcMain[Unit_Price],TableQCalcMain[[#This Row],[RowNumOfShownItems_Hard]]),0)=0,"",
INDEX(TableQCalcMain[Unit_Price],TableQCalcMain[[#This Row],[RowNumOfShownItems_Hard]])
))</f>
        <v/>
      </c>
      <c r="AG22" s="66" t="str">
        <f>IF(TableQCalcMain[[#This Row],[RowNumOfShownItems_Hard]]="","",
IF(IFERROR(
INDEX(TableQCalcMain[Extended_price],TableQCalcMain[[#This Row],[RowNumOfShownItems_Hard]]),0)=0,"",
INDEX(TableQCalcMain[Extended_price],TableQCalcMain[[#This Row],[RowNumOfShownItems_Hard]])
))</f>
        <v/>
      </c>
      <c r="AH22" s="66" t="str">
        <f t="array" ref="AH22">IFERROR(MATCH(0,COUNTIF(AB$2:$AB21,TableQCalcMain[Description])+IF(TableQCalcMain[ShowHard]=0,1,0),0),"")</f>
        <v/>
      </c>
    </row>
    <row r="23" spans="2:34" ht="15.5" customHeight="1" x14ac:dyDescent="0.2">
      <c r="B23" s="714" t="s">
        <v>772</v>
      </c>
      <c r="C23" s="66"/>
      <c r="D23" s="66"/>
      <c r="E23" s="66"/>
      <c r="F23" s="66"/>
      <c r="G23" s="66"/>
      <c r="H23" s="66"/>
      <c r="I23" s="713" t="s">
        <v>779</v>
      </c>
      <c r="J23" s="66"/>
      <c r="K23" s="66"/>
      <c r="L23" s="66"/>
      <c r="M23" s="66"/>
      <c r="N23" s="77" t="str">
        <f>IF(TableQCalcMain[[#This Row],[RowNumOfShownItems_Unsplit]]&lt;&gt;"",INDEX(TableQCalcMain[Description],TableQCalcMain[[#This Row],[RowNumOfShownItems_Unsplit]]),"")</f>
        <v/>
      </c>
      <c r="O23" s="66" t="str">
        <f>IF(TableQCalcMain[[#This Row],[RowNumOfShownItems_Unsplit]]&lt;&gt;"",INDEX(TableQCalcMain[Harmonized_Code],TableQCalcMain[[#This Row],[RowNumOfShownItems_Unsplit]]),"")</f>
        <v/>
      </c>
      <c r="P23" s="66" t="str">
        <f>IF(TableQCalcMain[[#This Row],[RowNumOfShownItems_Unsplit]]="","",INDEX(TableQCalcMain[Detailed_Ext_Price],TableQCalcMain[[#This Row],[RowNumOfShownItems_Unsplit]]))</f>
        <v/>
      </c>
      <c r="Q23" s="66" t="str">
        <f>IF(TableQCalcMain[[#This Row],[RowNumOfShownItems_Unsplit]]="","",INDEX(TableQCalcMain[Real_Quantity],TableQCalcMain[[#This Row],[RowNumOfShownItems_Unsplit]]))</f>
        <v/>
      </c>
      <c r="R23" s="66" t="str">
        <f>IF(TableQCalcMain[[#This Row],[RowNumOfShownItems_Unsplit]]="","",
IF(IFERROR(
INDEX(TableQCalcMain[Unit_Price],TableQCalcMain[[#This Row],[RowNumOfShownItems_Unsplit]]),0)=0,"",
INDEX(TableQCalcMain[Unit_Price],TableQCalcMain[[#This Row],[RowNumOfShownItems_Unsplit]])
))</f>
        <v/>
      </c>
      <c r="S23" s="66" t="str">
        <f>IF(TableQCalcMain[[#This Row],[RowNumOfShownItems_Unsplit]]="","",
IF(IFERROR(
INDEX(TableQCalcMain[Extended_price],TableQCalcMain[[#This Row],[RowNumOfShownItems_Unsplit]]),0)=0,"",
INDEX(TableQCalcMain[Extended_price],TableQCalcMain[[#This Row],[RowNumOfShownItems_Unsplit]])
))</f>
        <v/>
      </c>
      <c r="T23" t="str">
        <f t="array" ref="T23">IFERROR(MATCH(0,COUNTIF(N$2:$N22,TableQCalcMain[Description])+IF(TableQCalcMain[ShowDesc?]=0,1,0),0),"")</f>
        <v/>
      </c>
      <c r="U23" s="66" t="str">
        <f>IF(TableQCalcMain[[#This Row],[RowNumOfShownItems_SOFT]]&lt;&gt;"",INDEX(TableQCalcMain[Description],TableQCalcMain[[#This Row],[RowNumOfShownItems_SOFT]]),"")</f>
        <v/>
      </c>
      <c r="V23" s="66" t="str">
        <f>IF(TableQCalcMain[[#This Row],[RowNumOfShownItems_SOFT]]&lt;&gt;"",INDEX(TableQCalcMain[Harmonized_Code],TableQCalcMain[[#This Row],[RowNumOfShownItems_SOFT]]),"")</f>
        <v/>
      </c>
      <c r="W23" s="66" t="str">
        <f>IF(TableQCalcMain[[#This Row],[RowNumOfShownItems_SOFT]]="","",INDEX(TableQCalcMain[Detailed_Ext_Price],TableQCalcMain[[#This Row],[RowNumOfShownItems_SOFT]]))</f>
        <v/>
      </c>
      <c r="X23" s="66" t="str">
        <f>IF(TableQCalcMain[[#This Row],[RowNumOfShownItems_SOFT]]="","",INDEX(TableQCalcMain[Real_Quantity],TableQCalcMain[[#This Row],[RowNumOfShownItems_SOFT]]))</f>
        <v/>
      </c>
      <c r="Y23" s="66" t="str">
        <f>IF(TableQCalcMain[[#This Row],[RowNumOfShownItems_SOFT]]="","",INDEX(TableQCalcMain[Unit_Price],TableQCalcMain[[#This Row],[RowNumOfShownItems_SOFT]]))</f>
        <v/>
      </c>
      <c r="Z23" s="66" t="str">
        <f>IF(TableQCalcMain[[#This Row],[RowNumOfShownItems_SOFT]]="","",INDEX(TableQCalcMain[Extended_price],TableQCalcMain[[#This Row],[RowNumOfShownItems_SOFT]]))</f>
        <v/>
      </c>
      <c r="AA23" t="str">
        <f t="array" ref="AA23">IFERROR(MATCH(0,COUNTIF(U$2:$U22,TableQCalcMain[Description])+IF(TableQCalcMain[ShowSoft]=0,1,0),0),"")</f>
        <v/>
      </c>
      <c r="AB23" s="66" t="str">
        <f>IF(TableQCalcMain[[#This Row],[RowNumOfShownItems_Hard]]&lt;&gt;"",INDEX(TableQCalcMain[Description],TableQCalcMain[[#This Row],[RowNumOfShownItems_Hard]]),"")</f>
        <v/>
      </c>
      <c r="AC23" s="66" t="str">
        <f>IF(TableQCalcMain[[#This Row],[RowNumOfShownItems_Hard]]&lt;&gt;"",INDEX(TableQCalcMain[Harmonized_Code],TableQCalcMain[[#This Row],[RowNumOfShownItems_Hard]]),"")</f>
        <v/>
      </c>
      <c r="AD23" s="66" t="str">
        <f>IF(TableQCalcMain[[#This Row],[RowNumOfShownItems_Hard]]="","",INDEX(TableQCalcMain[Detailed_Ext_Price],TableQCalcMain[[#This Row],[RowNumOfShownItems_Hard]]))</f>
        <v/>
      </c>
      <c r="AE23" s="66" t="str">
        <f>IF(TableQCalcMain[[#This Row],[RowNumOfShownItems_Hard]]="","",INDEX(TableQCalcMain[Real_Quantity],TableQCalcMain[[#This Row],[RowNumOfShownItems_Hard]]))</f>
        <v/>
      </c>
      <c r="AF23" s="66" t="str">
        <f>IF(TableQCalcMain[[#This Row],[RowNumOfShownItems_Hard]]="","",
IF(IFERROR(
INDEX(TableQCalcMain[Unit_Price],TableQCalcMain[[#This Row],[RowNumOfShownItems_Hard]]),0)=0,"",
INDEX(TableQCalcMain[Unit_Price],TableQCalcMain[[#This Row],[RowNumOfShownItems_Hard]])
))</f>
        <v/>
      </c>
      <c r="AG23" s="66" t="str">
        <f>IF(TableQCalcMain[[#This Row],[RowNumOfShownItems_Hard]]="","",
IF(IFERROR(
INDEX(TableQCalcMain[Extended_price],TableQCalcMain[[#This Row],[RowNumOfShownItems_Hard]]),0)=0,"",
INDEX(TableQCalcMain[Extended_price],TableQCalcMain[[#This Row],[RowNumOfShownItems_Hard]])
))</f>
        <v/>
      </c>
      <c r="AH23" s="66" t="str">
        <f t="array" ref="AH23">IFERROR(MATCH(0,COUNTIF(AB$2:$AB22,TableQCalcMain[Description])+IF(TableQCalcMain[ShowHard]=0,1,0),0),"")</f>
        <v/>
      </c>
    </row>
    <row r="24" spans="2:34" ht="15.5" customHeight="1" x14ac:dyDescent="0.2">
      <c r="B24" s="608" t="s">
        <v>341</v>
      </c>
      <c r="C24" s="66" t="str">
        <f>""</f>
        <v/>
      </c>
      <c r="D24" s="66">
        <f>IF(QUOTE_Split_SoftwareHardware,N($C$22),0)</f>
        <v>0</v>
      </c>
      <c r="E24" s="66">
        <v>1</v>
      </c>
      <c r="F24" s="66"/>
      <c r="G24" s="66">
        <f>TableQCalcMain[[#This Row],[ShowDesc?]]*TableQCalcMain[[#This Row],[Software]]</f>
        <v>0</v>
      </c>
      <c r="H24" s="66"/>
      <c r="I2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",2)</f>
        <v xml:space="preserve">         • Software &amp; Instructions documents (PDF &amp; printed)  </v>
      </c>
      <c r="J24" s="66" t="str">
        <f>""</f>
        <v/>
      </c>
      <c r="K24" s="66" t="str">
        <f>""</f>
        <v/>
      </c>
      <c r="L24" s="66" t="str">
        <f>""</f>
        <v/>
      </c>
      <c r="M24" s="66" t="str">
        <f>""</f>
        <v/>
      </c>
      <c r="N24" s="77" t="str">
        <f>IF(TableQCalcMain[[#This Row],[RowNumOfShownItems_Unsplit]]&lt;&gt;"",INDEX(TableQCalcMain[Description],TableQCalcMain[[#This Row],[RowNumOfShownItems_Unsplit]]),"")</f>
        <v/>
      </c>
      <c r="O24" s="66" t="str">
        <f>IF(TableQCalcMain[[#This Row],[RowNumOfShownItems_Unsplit]]&lt;&gt;"",INDEX(TableQCalcMain[Harmonized_Code],TableQCalcMain[[#This Row],[RowNumOfShownItems_Unsplit]]),"")</f>
        <v/>
      </c>
      <c r="P24" s="66" t="str">
        <f>IF(TableQCalcMain[[#This Row],[RowNumOfShownItems_Unsplit]]="","",INDEX(TableQCalcMain[Detailed_Ext_Price],TableQCalcMain[[#This Row],[RowNumOfShownItems_Unsplit]]))</f>
        <v/>
      </c>
      <c r="Q24" s="66" t="str">
        <f>IF(TableQCalcMain[[#This Row],[RowNumOfShownItems_Unsplit]]="","",INDEX(TableQCalcMain[Real_Quantity],TableQCalcMain[[#This Row],[RowNumOfShownItems_Unsplit]]))</f>
        <v/>
      </c>
      <c r="R24" s="66" t="str">
        <f>IF(TableQCalcMain[[#This Row],[RowNumOfShownItems_Unsplit]]="","",
IF(IFERROR(
INDEX(TableQCalcMain[Unit_Price],TableQCalcMain[[#This Row],[RowNumOfShownItems_Unsplit]]),0)=0,"",
INDEX(TableQCalcMain[Unit_Price],TableQCalcMain[[#This Row],[RowNumOfShownItems_Unsplit]])
))</f>
        <v/>
      </c>
      <c r="S24" s="66" t="str">
        <f>IF(TableQCalcMain[[#This Row],[RowNumOfShownItems_Unsplit]]="","",
IF(IFERROR(
INDEX(TableQCalcMain[Extended_price],TableQCalcMain[[#This Row],[RowNumOfShownItems_Unsplit]]),0)=0,"",
INDEX(TableQCalcMain[Extended_price],TableQCalcMain[[#This Row],[RowNumOfShownItems_Unsplit]])
))</f>
        <v/>
      </c>
      <c r="T24" t="str">
        <f t="array" ref="T24">IFERROR(MATCH(0,COUNTIF(N$2:$N23,TableQCalcMain[Description])+IF(TableQCalcMain[ShowDesc?]=0,1,0),0),"")</f>
        <v/>
      </c>
      <c r="U24" s="66" t="str">
        <f>IF(TableQCalcMain[[#This Row],[RowNumOfShownItems_SOFT]]&lt;&gt;"",INDEX(TableQCalcMain[Description],TableQCalcMain[[#This Row],[RowNumOfShownItems_SOFT]]),"")</f>
        <v/>
      </c>
      <c r="V24" s="66" t="str">
        <f>IF(TableQCalcMain[[#This Row],[RowNumOfShownItems_SOFT]]&lt;&gt;"",INDEX(TableQCalcMain[Harmonized_Code],TableQCalcMain[[#This Row],[RowNumOfShownItems_SOFT]]),"")</f>
        <v/>
      </c>
      <c r="W24" s="66" t="str">
        <f>IF(TableQCalcMain[[#This Row],[RowNumOfShownItems_SOFT]]="","",INDEX(TableQCalcMain[Detailed_Ext_Price],TableQCalcMain[[#This Row],[RowNumOfShownItems_SOFT]]))</f>
        <v/>
      </c>
      <c r="X24" s="66" t="str">
        <f>IF(TableQCalcMain[[#This Row],[RowNumOfShownItems_SOFT]]="","",INDEX(TableQCalcMain[Real_Quantity],TableQCalcMain[[#This Row],[RowNumOfShownItems_SOFT]]))</f>
        <v/>
      </c>
      <c r="Y24" s="66" t="str">
        <f>IF(TableQCalcMain[[#This Row],[RowNumOfShownItems_SOFT]]="","",INDEX(TableQCalcMain[Unit_Price],TableQCalcMain[[#This Row],[RowNumOfShownItems_SOFT]]))</f>
        <v/>
      </c>
      <c r="Z24" s="66" t="str">
        <f>IF(TableQCalcMain[[#This Row],[RowNumOfShownItems_SOFT]]="","",INDEX(TableQCalcMain[Extended_price],TableQCalcMain[[#This Row],[RowNumOfShownItems_SOFT]]))</f>
        <v/>
      </c>
      <c r="AA24" t="str">
        <f t="array" ref="AA24">IFERROR(MATCH(0,COUNTIF(U$2:$U23,TableQCalcMain[Description])+IF(TableQCalcMain[ShowSoft]=0,1,0),0),"")</f>
        <v/>
      </c>
      <c r="AB24" s="66" t="str">
        <f>IF(TableQCalcMain[[#This Row],[RowNumOfShownItems_Hard]]&lt;&gt;"",INDEX(TableQCalcMain[Description],TableQCalcMain[[#This Row],[RowNumOfShownItems_Hard]]),"")</f>
        <v/>
      </c>
      <c r="AC24" s="66" t="str">
        <f>IF(TableQCalcMain[[#This Row],[RowNumOfShownItems_Hard]]&lt;&gt;"",INDEX(TableQCalcMain[Harmonized_Code],TableQCalcMain[[#This Row],[RowNumOfShownItems_Hard]]),"")</f>
        <v/>
      </c>
      <c r="AD24" s="66" t="str">
        <f>IF(TableQCalcMain[[#This Row],[RowNumOfShownItems_Hard]]="","",INDEX(TableQCalcMain[Detailed_Ext_Price],TableQCalcMain[[#This Row],[RowNumOfShownItems_Hard]]))</f>
        <v/>
      </c>
      <c r="AE24" s="66" t="str">
        <f>IF(TableQCalcMain[[#This Row],[RowNumOfShownItems_Hard]]="","",INDEX(TableQCalcMain[Real_Quantity],TableQCalcMain[[#This Row],[RowNumOfShownItems_Hard]]))</f>
        <v/>
      </c>
      <c r="AF24" s="66" t="str">
        <f>IF(TableQCalcMain[[#This Row],[RowNumOfShownItems_Hard]]="","",
IF(IFERROR(
INDEX(TableQCalcMain[Unit_Price],TableQCalcMain[[#This Row],[RowNumOfShownItems_Hard]]),0)=0,"",
INDEX(TableQCalcMain[Unit_Price],TableQCalcMain[[#This Row],[RowNumOfShownItems_Hard]])
))</f>
        <v/>
      </c>
      <c r="AG24" s="66" t="str">
        <f>IF(TableQCalcMain[[#This Row],[RowNumOfShownItems_Hard]]="","",
IF(IFERROR(
INDEX(TableQCalcMain[Extended_price],TableQCalcMain[[#This Row],[RowNumOfShownItems_Hard]]),0)=0,"",
INDEX(TableQCalcMain[Extended_price],TableQCalcMain[[#This Row],[RowNumOfShownItems_Hard]])
))</f>
        <v/>
      </c>
      <c r="AH24" s="66" t="str">
        <f t="array" ref="AH24">IFERROR(MATCH(0,COUNTIF(AB$2:$AB23,TableQCalcMain[Description])+IF(TableQCalcMain[ShowHard]=0,1,0),0),"")</f>
        <v/>
      </c>
    </row>
    <row r="25" spans="2:34" ht="15.5" customHeight="1" x14ac:dyDescent="0.2">
      <c r="B25" s="66" t="s">
        <v>63</v>
      </c>
      <c r="C25" s="66">
        <f>CELL_OptionXL*(CELL_N_Software-1)</f>
        <v>0</v>
      </c>
      <c r="D25" s="66">
        <f>0*CELL_OptionXL*(CELL_N_Software-1)</f>
        <v>0</v>
      </c>
      <c r="E25" s="66">
        <v>1</v>
      </c>
      <c r="F25" s="66"/>
      <c r="G25" s="66">
        <f>TableQCalcMain[[#This Row],[ShowDesc?]]*TableQCalcMain[[#This Row],[Software]]</f>
        <v>0</v>
      </c>
      <c r="H25" s="66">
        <f>TableQCalcMain[[#This Row],[ShowDesc?]]*TableQCalcMain[[#This Row],[Hardware]]</f>
        <v>0</v>
      </c>
      <c r="I25" s="66" t="str">
        <f>IF(Francais,"XLCell Logiciel pour l'Analyse des données de WinCELL","XLCell Software for WinCELL's data Analysis")</f>
        <v>XLCell Software for WinCELL's data Analysis</v>
      </c>
      <c r="J25" s="66" t="str">
        <f>""</f>
        <v/>
      </c>
      <c r="K25" s="66" t="s">
        <v>171</v>
      </c>
      <c r="L25" s="66" t="str">
        <f>""</f>
        <v/>
      </c>
      <c r="M25" s="66" t="str">
        <f>""</f>
        <v/>
      </c>
      <c r="N25" s="77" t="str">
        <f>IF(TableQCalcMain[[#This Row],[RowNumOfShownItems_Unsplit]]&lt;&gt;"",INDEX(TableQCalcMain[Description],TableQCalcMain[[#This Row],[RowNumOfShownItems_Unsplit]]),"")</f>
        <v/>
      </c>
      <c r="O25" s="66" t="str">
        <f>IF(TableQCalcMain[[#This Row],[RowNumOfShownItems_Unsplit]]&lt;&gt;"",INDEX(TableQCalcMain[Harmonized_Code],TableQCalcMain[[#This Row],[RowNumOfShownItems_Unsplit]]),"")</f>
        <v/>
      </c>
      <c r="P25" s="66" t="str">
        <f>IF(TableQCalcMain[[#This Row],[RowNumOfShownItems_Unsplit]]="","",INDEX(TableQCalcMain[Detailed_Ext_Price],TableQCalcMain[[#This Row],[RowNumOfShownItems_Unsplit]]))</f>
        <v/>
      </c>
      <c r="Q25" s="66" t="str">
        <f>IF(TableQCalcMain[[#This Row],[RowNumOfShownItems_Unsplit]]="","",INDEX(TableQCalcMain[Real_Quantity],TableQCalcMain[[#This Row],[RowNumOfShownItems_Unsplit]]))</f>
        <v/>
      </c>
      <c r="R25" s="66" t="str">
        <f>IF(TableQCalcMain[[#This Row],[RowNumOfShownItems_Unsplit]]="","",
IF(IFERROR(
INDEX(TableQCalcMain[Unit_Price],TableQCalcMain[[#This Row],[RowNumOfShownItems_Unsplit]]),0)=0,"",
INDEX(TableQCalcMain[Unit_Price],TableQCalcMain[[#This Row],[RowNumOfShownItems_Unsplit]])
))</f>
        <v/>
      </c>
      <c r="S25" s="66" t="str">
        <f>IF(TableQCalcMain[[#This Row],[RowNumOfShownItems_Unsplit]]="","",
IF(IFERROR(
INDEX(TableQCalcMain[Extended_price],TableQCalcMain[[#This Row],[RowNumOfShownItems_Unsplit]]),0)=0,"",
INDEX(TableQCalcMain[Extended_price],TableQCalcMain[[#This Row],[RowNumOfShownItems_Unsplit]])
))</f>
        <v/>
      </c>
      <c r="T25" t="str">
        <f t="array" ref="T25">IFERROR(MATCH(0,COUNTIF(N$2:$N24,TableQCalcMain[Description])+IF(TableQCalcMain[ShowDesc?]=0,1,0),0),"")</f>
        <v/>
      </c>
      <c r="U25" s="66" t="str">
        <f>IF(TableQCalcMain[[#This Row],[RowNumOfShownItems_SOFT]]&lt;&gt;"",INDEX(TableQCalcMain[Description],TableQCalcMain[[#This Row],[RowNumOfShownItems_SOFT]]),"")</f>
        <v/>
      </c>
      <c r="V25" s="66" t="str">
        <f>IF(TableQCalcMain[[#This Row],[RowNumOfShownItems_SOFT]]&lt;&gt;"",INDEX(TableQCalcMain[Harmonized_Code],TableQCalcMain[[#This Row],[RowNumOfShownItems_SOFT]]),"")</f>
        <v/>
      </c>
      <c r="W25" s="66" t="str">
        <f>IF(TableQCalcMain[[#This Row],[RowNumOfShownItems_SOFT]]="","",INDEX(TableQCalcMain[Detailed_Ext_Price],TableQCalcMain[[#This Row],[RowNumOfShownItems_SOFT]]))</f>
        <v/>
      </c>
      <c r="X25" s="66" t="str">
        <f>IF(TableQCalcMain[[#This Row],[RowNumOfShownItems_SOFT]]="","",INDEX(TableQCalcMain[Real_Quantity],TableQCalcMain[[#This Row],[RowNumOfShownItems_SOFT]]))</f>
        <v/>
      </c>
      <c r="Y25" s="66" t="str">
        <f>IF(TableQCalcMain[[#This Row],[RowNumOfShownItems_SOFT]]="","",INDEX(TableQCalcMain[Unit_Price],TableQCalcMain[[#This Row],[RowNumOfShownItems_SOFT]]))</f>
        <v/>
      </c>
      <c r="Z25" s="66" t="str">
        <f>IF(TableQCalcMain[[#This Row],[RowNumOfShownItems_SOFT]]="","",INDEX(TableQCalcMain[Extended_price],TableQCalcMain[[#This Row],[RowNumOfShownItems_SOFT]]))</f>
        <v/>
      </c>
      <c r="AA25" t="str">
        <f t="array" ref="AA25">IFERROR(MATCH(0,COUNTIF(U$2:$U24,TableQCalcMain[Description])+IF(TableQCalcMain[ShowSoft]=0,1,0),0),"")</f>
        <v/>
      </c>
      <c r="AB25" s="66" t="str">
        <f>IF(TableQCalcMain[[#This Row],[RowNumOfShownItems_Hard]]&lt;&gt;"",INDEX(TableQCalcMain[Description],TableQCalcMain[[#This Row],[RowNumOfShownItems_Hard]]),"")</f>
        <v/>
      </c>
      <c r="AC25" s="66" t="str">
        <f>IF(TableQCalcMain[[#This Row],[RowNumOfShownItems_Hard]]&lt;&gt;"",INDEX(TableQCalcMain[Harmonized_Code],TableQCalcMain[[#This Row],[RowNumOfShownItems_Hard]]),"")</f>
        <v/>
      </c>
      <c r="AD25" s="66" t="str">
        <f>IF(TableQCalcMain[[#This Row],[RowNumOfShownItems_Hard]]="","",INDEX(TableQCalcMain[Detailed_Ext_Price],TableQCalcMain[[#This Row],[RowNumOfShownItems_Hard]]))</f>
        <v/>
      </c>
      <c r="AE25" s="66" t="str">
        <f>IF(TableQCalcMain[[#This Row],[RowNumOfShownItems_Hard]]="","",INDEX(TableQCalcMain[Real_Quantity],TableQCalcMain[[#This Row],[RowNumOfShownItems_Hard]]))</f>
        <v/>
      </c>
      <c r="AF25" s="66" t="str">
        <f>IF(TableQCalcMain[[#This Row],[RowNumOfShownItems_Hard]]="","",
IF(IFERROR(
INDEX(TableQCalcMain[Unit_Price],TableQCalcMain[[#This Row],[RowNumOfShownItems_Hard]]),0)=0,"",
INDEX(TableQCalcMain[Unit_Price],TableQCalcMain[[#This Row],[RowNumOfShownItems_Hard]])
))</f>
        <v/>
      </c>
      <c r="AG25" s="66" t="str">
        <f>IF(TableQCalcMain[[#This Row],[RowNumOfShownItems_Hard]]="","",
IF(IFERROR(
INDEX(TableQCalcMain[Extended_price],TableQCalcMain[[#This Row],[RowNumOfShownItems_Hard]]),0)=0,"",
INDEX(TableQCalcMain[Extended_price],TableQCalcMain[[#This Row],[RowNumOfShownItems_Hard]])
))</f>
        <v/>
      </c>
      <c r="AH25" s="66" t="str">
        <f t="array" ref="AH25">IFERROR(MATCH(0,COUNTIF(AB$2:$AB24,TableQCalcMain[Description])+IF(TableQCalcMain[ShowHard]=0,1,0),0),"")</f>
        <v/>
      </c>
    </row>
    <row r="26" spans="2:34" ht="15.5" customHeight="1" x14ac:dyDescent="0.2">
      <c r="B26" s="66" t="s">
        <v>332</v>
      </c>
      <c r="C26" s="66">
        <f>N($C$22)+N($C$27)</f>
        <v>0</v>
      </c>
      <c r="D26" s="66">
        <f>IF(AND(QUOTE_Split_SoftwareHardware,TableQCalcMain[[#This Row],[Real_Quantity]]&gt;0),1,0)</f>
        <v>0</v>
      </c>
      <c r="E26" s="66">
        <f>IF(QUOTE_InternetDownload,0,1)</f>
        <v>1</v>
      </c>
      <c r="F26" s="66">
        <f>IF(QUOTE_InternetDownload,1,0)</f>
        <v>0</v>
      </c>
      <c r="G26" s="66">
        <f>TableQCalcMain[[#This Row],[ShowDesc?]]*TableQCalcMain[[#This Row],[Software]]</f>
        <v>0</v>
      </c>
      <c r="H26" s="66">
        <f>TableQCalcMain[[#This Row],[ShowDesc?]]*TableQCalcMain[[#This Row],[Hardware]]</f>
        <v>0</v>
      </c>
      <c r="I2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WinCELL</v>
      </c>
      <c r="J26" s="66">
        <v>852351</v>
      </c>
      <c r="K26" s="66">
        <f>TableQCalcMain[[#This Row],[Extended_price]]</f>
        <v>0</v>
      </c>
      <c r="L26" s="66" t="str">
        <f>IF(OR(TableQCalcMain[[#This Row],[Real_Quantity]]=0,TableQCalcMain[[#This Row],[Extended_price]]=0),"",ROUND(TableQCalcMain[[#This Row],[Extended_price]]/TableQCalcMain[[#This Row],[Real_Quantity]],2))</f>
        <v/>
      </c>
      <c r="M26" s="66">
        <f>PrixUSBKey*TableQCalcMain[[#This Row],[Real_Quantity]]</f>
        <v>0</v>
      </c>
      <c r="N26" s="77" t="str">
        <f>IF(TableQCalcMain[[#This Row],[RowNumOfShownItems_Unsplit]]&lt;&gt;"",INDEX(TableQCalcMain[Description],TableQCalcMain[[#This Row],[RowNumOfShownItems_Unsplit]]),"")</f>
        <v/>
      </c>
      <c r="O26" s="66" t="str">
        <f>IF(TableQCalcMain[[#This Row],[RowNumOfShownItems_Unsplit]]&lt;&gt;"",INDEX(TableQCalcMain[Harmonized_Code],TableQCalcMain[[#This Row],[RowNumOfShownItems_Unsplit]]),"")</f>
        <v/>
      </c>
      <c r="P26" s="66" t="str">
        <f>IF(TableQCalcMain[[#This Row],[RowNumOfShownItems_Unsplit]]="","",INDEX(TableQCalcMain[Detailed_Ext_Price],TableQCalcMain[[#This Row],[RowNumOfShownItems_Unsplit]]))</f>
        <v/>
      </c>
      <c r="Q26" s="66" t="str">
        <f>IF(TableQCalcMain[[#This Row],[RowNumOfShownItems_Unsplit]]="","",INDEX(TableQCalcMain[Real_Quantity],TableQCalcMain[[#This Row],[RowNumOfShownItems_Unsplit]]))</f>
        <v/>
      </c>
      <c r="R26" s="66" t="str">
        <f>IF(TableQCalcMain[[#This Row],[RowNumOfShownItems_Unsplit]]="","",
IF(IFERROR(
INDEX(TableQCalcMain[Unit_Price],TableQCalcMain[[#This Row],[RowNumOfShownItems_Unsplit]]),0)=0,"",
INDEX(TableQCalcMain[Unit_Price],TableQCalcMain[[#This Row],[RowNumOfShownItems_Unsplit]])
))</f>
        <v/>
      </c>
      <c r="S26" s="66" t="str">
        <f>IF(TableQCalcMain[[#This Row],[RowNumOfShownItems_Unsplit]]="","",
IF(IFERROR(
INDEX(TableQCalcMain[Extended_price],TableQCalcMain[[#This Row],[RowNumOfShownItems_Unsplit]]),0)=0,"",
INDEX(TableQCalcMain[Extended_price],TableQCalcMain[[#This Row],[RowNumOfShownItems_Unsplit]])
))</f>
        <v/>
      </c>
      <c r="T26" t="str">
        <f t="array" ref="T26">IFERROR(MATCH(0,COUNTIF(N$2:$N25,TableQCalcMain[Description])+IF(TableQCalcMain[ShowDesc?]=0,1,0),0),"")</f>
        <v/>
      </c>
      <c r="U26" s="66" t="str">
        <f>IF(TableQCalcMain[[#This Row],[RowNumOfShownItems_SOFT]]&lt;&gt;"",INDEX(TableQCalcMain[Description],TableQCalcMain[[#This Row],[RowNumOfShownItems_SOFT]]),"")</f>
        <v/>
      </c>
      <c r="V26" s="66" t="str">
        <f>IF(TableQCalcMain[[#This Row],[RowNumOfShownItems_SOFT]]&lt;&gt;"",INDEX(TableQCalcMain[Harmonized_Code],TableQCalcMain[[#This Row],[RowNumOfShownItems_SOFT]]),"")</f>
        <v/>
      </c>
      <c r="W26" s="66" t="str">
        <f>IF(TableQCalcMain[[#This Row],[RowNumOfShownItems_SOFT]]="","",INDEX(TableQCalcMain[Detailed_Ext_Price],TableQCalcMain[[#This Row],[RowNumOfShownItems_SOFT]]))</f>
        <v/>
      </c>
      <c r="X26" s="66" t="str">
        <f>IF(TableQCalcMain[[#This Row],[RowNumOfShownItems_SOFT]]="","",INDEX(TableQCalcMain[Real_Quantity],TableQCalcMain[[#This Row],[RowNumOfShownItems_SOFT]]))</f>
        <v/>
      </c>
      <c r="Y26" s="66" t="str">
        <f>IF(TableQCalcMain[[#This Row],[RowNumOfShownItems_SOFT]]="","",INDEX(TableQCalcMain[Unit_Price],TableQCalcMain[[#This Row],[RowNumOfShownItems_SOFT]]))</f>
        <v/>
      </c>
      <c r="Z26" s="66" t="str">
        <f>IF(TableQCalcMain[[#This Row],[RowNumOfShownItems_SOFT]]="","",INDEX(TableQCalcMain[Extended_price],TableQCalcMain[[#This Row],[RowNumOfShownItems_SOFT]]))</f>
        <v/>
      </c>
      <c r="AA26" t="str">
        <f t="array" ref="AA26">IFERROR(MATCH(0,COUNTIF(U$2:$U25,TableQCalcMain[Description])+IF(TableQCalcMain[ShowSoft]=0,1,0),0),"")</f>
        <v/>
      </c>
      <c r="AB26" s="66" t="str">
        <f>IF(TableQCalcMain[[#This Row],[RowNumOfShownItems_Hard]]&lt;&gt;"",INDEX(TableQCalcMain[Description],TableQCalcMain[[#This Row],[RowNumOfShownItems_Hard]]),"")</f>
        <v/>
      </c>
      <c r="AC26" s="66" t="str">
        <f>IF(TableQCalcMain[[#This Row],[RowNumOfShownItems_Hard]]&lt;&gt;"",INDEX(TableQCalcMain[Harmonized_Code],TableQCalcMain[[#This Row],[RowNumOfShownItems_Hard]]),"")</f>
        <v/>
      </c>
      <c r="AD26" s="66" t="str">
        <f>IF(TableQCalcMain[[#This Row],[RowNumOfShownItems_Hard]]="","",INDEX(TableQCalcMain[Detailed_Ext_Price],TableQCalcMain[[#This Row],[RowNumOfShownItems_Hard]]))</f>
        <v/>
      </c>
      <c r="AE26" s="66" t="str">
        <f>IF(TableQCalcMain[[#This Row],[RowNumOfShownItems_Hard]]="","",INDEX(TableQCalcMain[Real_Quantity],TableQCalcMain[[#This Row],[RowNumOfShownItems_Hard]]))</f>
        <v/>
      </c>
      <c r="AF26" s="66" t="str">
        <f>IF(TableQCalcMain[[#This Row],[RowNumOfShownItems_Hard]]="","",
IF(IFERROR(
INDEX(TableQCalcMain[Unit_Price],TableQCalcMain[[#This Row],[RowNumOfShownItems_Hard]]),0)=0,"",
INDEX(TableQCalcMain[Unit_Price],TableQCalcMain[[#This Row],[RowNumOfShownItems_Hard]])
))</f>
        <v/>
      </c>
      <c r="AG26" s="66" t="str">
        <f>IF(TableQCalcMain[[#This Row],[RowNumOfShownItems_Hard]]="","",
IF(IFERROR(
INDEX(TableQCalcMain[Extended_price],TableQCalcMain[[#This Row],[RowNumOfShownItems_Hard]]),0)=0,"",
INDEX(TableQCalcMain[Extended_price],TableQCalcMain[[#This Row],[RowNumOfShownItems_Hard]])
))</f>
        <v/>
      </c>
      <c r="AH26" s="66" t="str">
        <f t="array" ref="AH26">IFERROR(MATCH(0,COUNTIF(AB$2:$AB25,TableQCalcMain[Description])+IF(TableQCalcMain[ShowHard]=0,1,0),0),"")</f>
        <v/>
      </c>
    </row>
    <row r="27" spans="2:34" ht="15.5" customHeight="1" x14ac:dyDescent="0.2">
      <c r="B27" s="607" t="s">
        <v>65</v>
      </c>
      <c r="C27" s="66">
        <f>CELL_N_UpgradeUpdate-1</f>
        <v>0</v>
      </c>
      <c r="D27" s="66">
        <f>IFERROR(IF(OR(WinCELL!#REF!&gt;0,WinCELL!#REF!&gt;0),CELL_N_UpgradeUpdate-1,0),0)</f>
        <v>0</v>
      </c>
      <c r="E27" s="66">
        <v>1</v>
      </c>
      <c r="F27" s="66"/>
      <c r="G27" s="66">
        <f>TableQCalcMain[[#This Row],[ShowDesc?]]*TableQCalcMain[[#This Row],[Software]]</f>
        <v>0</v>
      </c>
      <c r="H27" s="66">
        <f>TableQCalcMain[[#This Row],[ShowDesc?]]*TableQCalcMain[[#This Row],[Hardware]]</f>
        <v>0</v>
      </c>
      <c r="I27" s="607" t="e">
        <f>IF(Francais,"Mise à jour de ","Update from ") &amp;
SUBSTITUTE(TRIM(INDEX(CELL_SoftwareList,CELL_IndexClientVersion))," "," " &amp; CELL_YearClient &amp; " ",1) &amp;
IF(Francais," à "," to ") &amp;
SUBSTITUTE(TRIM(INDEX(CELL_SoftwareList,CELL_IndexSoftware))," "," " &amp; CELL_YearMostRecent &amp; " ",1) &amp; " (32 &amp; 64-bit)"&amp; " " &amp; "&amp;" &amp; " XLCell"
&amp;
IF(QUOTE_Split_SoftwareHardware,IF(QUOTE_InternetDownload,IF(Francais, ", Téléchargement Internet", ", Internet download"),IF(Francais, ", Envoyé par transporteur", ", Shipped by courier")),IF(Francais," sur media USB (manuels PDF &amp; imprimés)"," on USB drive (PDF &amp; printed manuals)"))</f>
        <v>#REF!</v>
      </c>
      <c r="J27" s="66">
        <f>WinCELL!I11</f>
        <v>852349</v>
      </c>
      <c r="K27" s="66" t="str">
        <f>""</f>
        <v/>
      </c>
      <c r="L27" s="66" t="e">
        <f>ROUND(TableQCalcMain[[#This Row],[Extended_price]]/TableQCalcMain[[#This Row],[Real_Quantity]],2)</f>
        <v>#REF!</v>
      </c>
      <c r="M27" s="66" t="e">
        <f>ROUND(IF(Distributeurs_Rabais,WinCELL!#REF!,WinCELL!#REF!)
-IF(QUOTE_Split_SoftwareHardware,PrixUSBKey*(CELL_N_UpgradeUpdate-1),0),2)</f>
        <v>#REF!</v>
      </c>
      <c r="N27" s="77" t="str">
        <f>IF(TableQCalcMain[[#This Row],[RowNumOfShownItems_Unsplit]]&lt;&gt;"",INDEX(TableQCalcMain[Description],TableQCalcMain[[#This Row],[RowNumOfShownItems_Unsplit]]),"")</f>
        <v/>
      </c>
      <c r="O27" s="66" t="str">
        <f>IF(TableQCalcMain[[#This Row],[RowNumOfShownItems_Unsplit]]&lt;&gt;"",INDEX(TableQCalcMain[Harmonized_Code],TableQCalcMain[[#This Row],[RowNumOfShownItems_Unsplit]]),"")</f>
        <v/>
      </c>
      <c r="P27" s="66" t="str">
        <f>IF(TableQCalcMain[[#This Row],[RowNumOfShownItems_Unsplit]]="","",INDEX(TableQCalcMain[Detailed_Ext_Price],TableQCalcMain[[#This Row],[RowNumOfShownItems_Unsplit]]))</f>
        <v/>
      </c>
      <c r="Q27" s="66" t="str">
        <f>IF(TableQCalcMain[[#This Row],[RowNumOfShownItems_Unsplit]]="","",INDEX(TableQCalcMain[Real_Quantity],TableQCalcMain[[#This Row],[RowNumOfShownItems_Unsplit]]))</f>
        <v/>
      </c>
      <c r="R27" s="66" t="str">
        <f>IF(TableQCalcMain[[#This Row],[RowNumOfShownItems_Unsplit]]="","",
IF(IFERROR(
INDEX(TableQCalcMain[Unit_Price],TableQCalcMain[[#This Row],[RowNumOfShownItems_Unsplit]]),0)=0,"",
INDEX(TableQCalcMain[Unit_Price],TableQCalcMain[[#This Row],[RowNumOfShownItems_Unsplit]])
))</f>
        <v/>
      </c>
      <c r="S27" s="66" t="str">
        <f>IF(TableQCalcMain[[#This Row],[RowNumOfShownItems_Unsplit]]="","",
IF(IFERROR(
INDEX(TableQCalcMain[Extended_price],TableQCalcMain[[#This Row],[RowNumOfShownItems_Unsplit]]),0)=0,"",
INDEX(TableQCalcMain[Extended_price],TableQCalcMain[[#This Row],[RowNumOfShownItems_Unsplit]])
))</f>
        <v/>
      </c>
      <c r="T27" t="str">
        <f t="array" ref="T27">IFERROR(MATCH(0,COUNTIF(N$2:$N26,TableQCalcMain[Description])+IF(TableQCalcMain[ShowDesc?]=0,1,0),0),"")</f>
        <v/>
      </c>
      <c r="U27" s="66" t="str">
        <f>IF(TableQCalcMain[[#This Row],[RowNumOfShownItems_SOFT]]&lt;&gt;"",INDEX(TableQCalcMain[Description],TableQCalcMain[[#This Row],[RowNumOfShownItems_SOFT]]),"")</f>
        <v/>
      </c>
      <c r="V27" s="66" t="str">
        <f>IF(TableQCalcMain[[#This Row],[RowNumOfShownItems_SOFT]]&lt;&gt;"",INDEX(TableQCalcMain[Harmonized_Code],TableQCalcMain[[#This Row],[RowNumOfShownItems_SOFT]]),"")</f>
        <v/>
      </c>
      <c r="W27" s="66" t="str">
        <f>IF(TableQCalcMain[[#This Row],[RowNumOfShownItems_SOFT]]="","",INDEX(TableQCalcMain[Detailed_Ext_Price],TableQCalcMain[[#This Row],[RowNumOfShownItems_SOFT]]))</f>
        <v/>
      </c>
      <c r="X27" s="66" t="str">
        <f>IF(TableQCalcMain[[#This Row],[RowNumOfShownItems_SOFT]]="","",INDEX(TableQCalcMain[Real_Quantity],TableQCalcMain[[#This Row],[RowNumOfShownItems_SOFT]]))</f>
        <v/>
      </c>
      <c r="Y27" s="66" t="str">
        <f>IF(TableQCalcMain[[#This Row],[RowNumOfShownItems_SOFT]]="","",INDEX(TableQCalcMain[Unit_Price],TableQCalcMain[[#This Row],[RowNumOfShownItems_SOFT]]))</f>
        <v/>
      </c>
      <c r="Z27" s="66" t="str">
        <f>IF(TableQCalcMain[[#This Row],[RowNumOfShownItems_SOFT]]="","",INDEX(TableQCalcMain[Extended_price],TableQCalcMain[[#This Row],[RowNumOfShownItems_SOFT]]))</f>
        <v/>
      </c>
      <c r="AA27" t="str">
        <f t="array" ref="AA27">IFERROR(MATCH(0,COUNTIF(U$2:$U26,TableQCalcMain[Description])+IF(TableQCalcMain[ShowSoft]=0,1,0),0),"")</f>
        <v/>
      </c>
      <c r="AB27" s="66" t="str">
        <f>IF(TableQCalcMain[[#This Row],[RowNumOfShownItems_Hard]]&lt;&gt;"",INDEX(TableQCalcMain[Description],TableQCalcMain[[#This Row],[RowNumOfShownItems_Hard]]),"")</f>
        <v/>
      </c>
      <c r="AC27" s="66" t="str">
        <f>IF(TableQCalcMain[[#This Row],[RowNumOfShownItems_Hard]]&lt;&gt;"",INDEX(TableQCalcMain[Harmonized_Code],TableQCalcMain[[#This Row],[RowNumOfShownItems_Hard]]),"")</f>
        <v/>
      </c>
      <c r="AD27" s="66" t="str">
        <f>IF(TableQCalcMain[[#This Row],[RowNumOfShownItems_Hard]]="","",INDEX(TableQCalcMain[Detailed_Ext_Price],TableQCalcMain[[#This Row],[RowNumOfShownItems_Hard]]))</f>
        <v/>
      </c>
      <c r="AE27" s="66" t="str">
        <f>IF(TableQCalcMain[[#This Row],[RowNumOfShownItems_Hard]]="","",INDEX(TableQCalcMain[Real_Quantity],TableQCalcMain[[#This Row],[RowNumOfShownItems_Hard]]))</f>
        <v/>
      </c>
      <c r="AF27" s="66" t="str">
        <f>IF(TableQCalcMain[[#This Row],[RowNumOfShownItems_Hard]]="","",
IF(IFERROR(
INDEX(TableQCalcMain[Unit_Price],TableQCalcMain[[#This Row],[RowNumOfShownItems_Hard]]),0)=0,"",
INDEX(TableQCalcMain[Unit_Price],TableQCalcMain[[#This Row],[RowNumOfShownItems_Hard]])
))</f>
        <v/>
      </c>
      <c r="AG27" s="66" t="str">
        <f>IF(TableQCalcMain[[#This Row],[RowNumOfShownItems_Hard]]="","",
IF(IFERROR(
INDEX(TableQCalcMain[Extended_price],TableQCalcMain[[#This Row],[RowNumOfShownItems_Hard]]),0)=0,"",
INDEX(TableQCalcMain[Extended_price],TableQCalcMain[[#This Row],[RowNumOfShownItems_Hard]])
))</f>
        <v/>
      </c>
      <c r="AH27" s="66" t="str">
        <f t="array" ref="AH27">IFERROR(MATCH(0,COUNTIF(AB$2:$AB26,TableQCalcMain[Description])+IF(TableQCalcMain[ShowHard]=0,1,0),0),"")</f>
        <v/>
      </c>
    </row>
    <row r="28" spans="2:34" ht="15.5" customHeight="1" x14ac:dyDescent="0.2">
      <c r="B28" s="608" t="s">
        <v>341</v>
      </c>
      <c r="C28" s="66" t="str">
        <f>""</f>
        <v/>
      </c>
      <c r="D28" s="66">
        <f>IF(QUOTE_Split_SoftwareHardware,N($C$27),0)</f>
        <v>0</v>
      </c>
      <c r="E28" s="66">
        <v>1</v>
      </c>
      <c r="F28" s="66"/>
      <c r="G28" s="66">
        <f>TableQCalcMain[[#This Row],[ShowDesc?]]*TableQCalcMain[[#This Row],[Software]]</f>
        <v>0</v>
      </c>
      <c r="H28" s="66"/>
      <c r="I2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",3)</f>
        <v xml:space="preserve">         • Software &amp; Instructions documents (PDF &amp; printed)   </v>
      </c>
      <c r="J28" s="66" t="str">
        <f>""</f>
        <v/>
      </c>
      <c r="K28" s="66" t="str">
        <f>""</f>
        <v/>
      </c>
      <c r="L28" s="66" t="str">
        <f>""</f>
        <v/>
      </c>
      <c r="M28" s="66" t="str">
        <f>""</f>
        <v/>
      </c>
      <c r="N28" s="77" t="str">
        <f>IF(TableQCalcMain[[#This Row],[RowNumOfShownItems_Unsplit]]&lt;&gt;"",INDEX(TableQCalcMain[Description],TableQCalcMain[[#This Row],[RowNumOfShownItems_Unsplit]]),"")</f>
        <v/>
      </c>
      <c r="O28" s="66" t="str">
        <f>IF(TableQCalcMain[[#This Row],[RowNumOfShownItems_Unsplit]]&lt;&gt;"",INDEX(TableQCalcMain[Harmonized_Code],TableQCalcMain[[#This Row],[RowNumOfShownItems_Unsplit]]),"")</f>
        <v/>
      </c>
      <c r="P28" s="66" t="str">
        <f>IF(TableQCalcMain[[#This Row],[RowNumOfShownItems_Unsplit]]="","",INDEX(TableQCalcMain[Detailed_Ext_Price],TableQCalcMain[[#This Row],[RowNumOfShownItems_Unsplit]]))</f>
        <v/>
      </c>
      <c r="Q28" s="66" t="str">
        <f>IF(TableQCalcMain[[#This Row],[RowNumOfShownItems_Unsplit]]="","",INDEX(TableQCalcMain[Real_Quantity],TableQCalcMain[[#This Row],[RowNumOfShownItems_Unsplit]]))</f>
        <v/>
      </c>
      <c r="R28" s="66" t="str">
        <f>IF(TableQCalcMain[[#This Row],[RowNumOfShownItems_Unsplit]]="","",
IF(IFERROR(
INDEX(TableQCalcMain[Unit_Price],TableQCalcMain[[#This Row],[RowNumOfShownItems_Unsplit]]),0)=0,"",
INDEX(TableQCalcMain[Unit_Price],TableQCalcMain[[#This Row],[RowNumOfShownItems_Unsplit]])
))</f>
        <v/>
      </c>
      <c r="S28" s="66" t="str">
        <f>IF(TableQCalcMain[[#This Row],[RowNumOfShownItems_Unsplit]]="","",
IF(IFERROR(
INDEX(TableQCalcMain[Extended_price],TableQCalcMain[[#This Row],[RowNumOfShownItems_Unsplit]]),0)=0,"",
INDEX(TableQCalcMain[Extended_price],TableQCalcMain[[#This Row],[RowNumOfShownItems_Unsplit]])
))</f>
        <v/>
      </c>
      <c r="T28" t="str">
        <f t="array" ref="T28">IFERROR(MATCH(0,COUNTIF(N$2:$N27,TableQCalcMain[Description])+IF(TableQCalcMain[ShowDesc?]=0,1,0),0),"")</f>
        <v/>
      </c>
      <c r="U28" s="66" t="str">
        <f>IF(TableQCalcMain[[#This Row],[RowNumOfShownItems_SOFT]]&lt;&gt;"",INDEX(TableQCalcMain[Description],TableQCalcMain[[#This Row],[RowNumOfShownItems_SOFT]]),"")</f>
        <v/>
      </c>
      <c r="V28" s="66" t="str">
        <f>IF(TableQCalcMain[[#This Row],[RowNumOfShownItems_SOFT]]&lt;&gt;"",INDEX(TableQCalcMain[Harmonized_Code],TableQCalcMain[[#This Row],[RowNumOfShownItems_SOFT]]),"")</f>
        <v/>
      </c>
      <c r="W28" s="66" t="str">
        <f>IF(TableQCalcMain[[#This Row],[RowNumOfShownItems_SOFT]]="","",INDEX(TableQCalcMain[Detailed_Ext_Price],TableQCalcMain[[#This Row],[RowNumOfShownItems_SOFT]]))</f>
        <v/>
      </c>
      <c r="X28" s="66" t="str">
        <f>IF(TableQCalcMain[[#This Row],[RowNumOfShownItems_SOFT]]="","",INDEX(TableQCalcMain[Real_Quantity],TableQCalcMain[[#This Row],[RowNumOfShownItems_SOFT]]))</f>
        <v/>
      </c>
      <c r="Y28" s="66" t="str">
        <f>IF(TableQCalcMain[[#This Row],[RowNumOfShownItems_SOFT]]="","",INDEX(TableQCalcMain[Unit_Price],TableQCalcMain[[#This Row],[RowNumOfShownItems_SOFT]]))</f>
        <v/>
      </c>
      <c r="Z28" s="66" t="str">
        <f>IF(TableQCalcMain[[#This Row],[RowNumOfShownItems_SOFT]]="","",INDEX(TableQCalcMain[Extended_price],TableQCalcMain[[#This Row],[RowNumOfShownItems_SOFT]]))</f>
        <v/>
      </c>
      <c r="AA28" t="str">
        <f t="array" ref="AA28">IFERROR(MATCH(0,COUNTIF(U$2:$U27,TableQCalcMain[Description])+IF(TableQCalcMain[ShowSoft]=0,1,0),0),"")</f>
        <v/>
      </c>
      <c r="AB28" s="66" t="str">
        <f>IF(TableQCalcMain[[#This Row],[RowNumOfShownItems_Hard]]&lt;&gt;"",INDEX(TableQCalcMain[Description],TableQCalcMain[[#This Row],[RowNumOfShownItems_Hard]]),"")</f>
        <v/>
      </c>
      <c r="AC28" s="66" t="str">
        <f>IF(TableQCalcMain[[#This Row],[RowNumOfShownItems_Hard]]&lt;&gt;"",INDEX(TableQCalcMain[Harmonized_Code],TableQCalcMain[[#This Row],[RowNumOfShownItems_Hard]]),"")</f>
        <v/>
      </c>
      <c r="AD28" s="66" t="str">
        <f>IF(TableQCalcMain[[#This Row],[RowNumOfShownItems_Hard]]="","",INDEX(TableQCalcMain[Detailed_Ext_Price],TableQCalcMain[[#This Row],[RowNumOfShownItems_Hard]]))</f>
        <v/>
      </c>
      <c r="AE28" s="66" t="str">
        <f>IF(TableQCalcMain[[#This Row],[RowNumOfShownItems_Hard]]="","",INDEX(TableQCalcMain[Real_Quantity],TableQCalcMain[[#This Row],[RowNumOfShownItems_Hard]]))</f>
        <v/>
      </c>
      <c r="AF28" s="66" t="str">
        <f>IF(TableQCalcMain[[#This Row],[RowNumOfShownItems_Hard]]="","",
IF(IFERROR(
INDEX(TableQCalcMain[Unit_Price],TableQCalcMain[[#This Row],[RowNumOfShownItems_Hard]]),0)=0,"",
INDEX(TableQCalcMain[Unit_Price],TableQCalcMain[[#This Row],[RowNumOfShownItems_Hard]])
))</f>
        <v/>
      </c>
      <c r="AG28" s="66" t="str">
        <f>IF(TableQCalcMain[[#This Row],[RowNumOfShownItems_Hard]]="","",
IF(IFERROR(
INDEX(TableQCalcMain[Extended_price],TableQCalcMain[[#This Row],[RowNumOfShownItems_Hard]]),0)=0,"",
INDEX(TableQCalcMain[Extended_price],TableQCalcMain[[#This Row],[RowNumOfShownItems_Hard]])
))</f>
        <v/>
      </c>
      <c r="AH28" s="66" t="str">
        <f t="array" ref="AH28">IFERROR(MATCH(0,COUNTIF(AB$2:$AB27,TableQCalcMain[Description])+IF(TableQCalcMain[ShowHard]=0,1,0),0),"")</f>
        <v/>
      </c>
    </row>
    <row r="29" spans="2:34" ht="15.5" customHeight="1" x14ac:dyDescent="0.2">
      <c r="B29" s="679" t="s">
        <v>112</v>
      </c>
      <c r="C29" s="679" t="str">
        <f>""</f>
        <v/>
      </c>
      <c r="D29" s="679">
        <f>SUM(D22:D28)</f>
        <v>0</v>
      </c>
      <c r="E29" s="679">
        <v>1</v>
      </c>
      <c r="F29" s="679">
        <v>1</v>
      </c>
      <c r="G29" s="679">
        <f>SUM(G22:G28)</f>
        <v>0</v>
      </c>
      <c r="H29" s="679">
        <f>SUM(H22:H28)</f>
        <v>0</v>
      </c>
      <c r="I29" s="679" t="str">
        <f>REPT(" ",1)</f>
        <v xml:space="preserve"> </v>
      </c>
      <c r="J29" s="679" t="str">
        <f>""</f>
        <v/>
      </c>
      <c r="K29" s="679" t="str">
        <f>""</f>
        <v/>
      </c>
      <c r="L29" s="679" t="str">
        <f>""</f>
        <v/>
      </c>
      <c r="M29" s="679" t="str">
        <f>""</f>
        <v/>
      </c>
      <c r="N29" s="77" t="str">
        <f>IF(TableQCalcMain[[#This Row],[RowNumOfShownItems_Unsplit]]&lt;&gt;"",INDEX(TableQCalcMain[Description],TableQCalcMain[[#This Row],[RowNumOfShownItems_Unsplit]]),"")</f>
        <v/>
      </c>
      <c r="O29" s="66" t="str">
        <f>IF(TableQCalcMain[[#This Row],[RowNumOfShownItems_Unsplit]]&lt;&gt;"",INDEX(TableQCalcMain[Harmonized_Code],TableQCalcMain[[#This Row],[RowNumOfShownItems_Unsplit]]),"")</f>
        <v/>
      </c>
      <c r="P29" s="66" t="str">
        <f>IF(TableQCalcMain[[#This Row],[RowNumOfShownItems_Unsplit]]="","",INDEX(TableQCalcMain[Detailed_Ext_Price],TableQCalcMain[[#This Row],[RowNumOfShownItems_Unsplit]]))</f>
        <v/>
      </c>
      <c r="Q29" s="66" t="str">
        <f>IF(TableQCalcMain[[#This Row],[RowNumOfShownItems_Unsplit]]="","",INDEX(TableQCalcMain[Real_Quantity],TableQCalcMain[[#This Row],[RowNumOfShownItems_Unsplit]]))</f>
        <v/>
      </c>
      <c r="R29" s="66" t="str">
        <f>IF(TableQCalcMain[[#This Row],[RowNumOfShownItems_Unsplit]]="","",
IF(IFERROR(
INDEX(TableQCalcMain[Unit_Price],TableQCalcMain[[#This Row],[RowNumOfShownItems_Unsplit]]),0)=0,"",
INDEX(TableQCalcMain[Unit_Price],TableQCalcMain[[#This Row],[RowNumOfShownItems_Unsplit]])
))</f>
        <v/>
      </c>
      <c r="S29" s="66" t="str">
        <f>IF(TableQCalcMain[[#This Row],[RowNumOfShownItems_Unsplit]]="","",
IF(IFERROR(
INDEX(TableQCalcMain[Extended_price],TableQCalcMain[[#This Row],[RowNumOfShownItems_Unsplit]]),0)=0,"",
INDEX(TableQCalcMain[Extended_price],TableQCalcMain[[#This Row],[RowNumOfShownItems_Unsplit]])
))</f>
        <v/>
      </c>
      <c r="T29" t="str">
        <f t="array" ref="T29">IFERROR(MATCH(0,COUNTIF(N$2:$N28,TableQCalcMain[Description])+IF(TableQCalcMain[ShowDesc?]=0,1,0),0),"")</f>
        <v/>
      </c>
      <c r="U29" s="66" t="str">
        <f>IF(TableQCalcMain[[#This Row],[RowNumOfShownItems_SOFT]]&lt;&gt;"",INDEX(TableQCalcMain[Description],TableQCalcMain[[#This Row],[RowNumOfShownItems_SOFT]]),"")</f>
        <v/>
      </c>
      <c r="V29" s="66" t="str">
        <f>IF(TableQCalcMain[[#This Row],[RowNumOfShownItems_SOFT]]&lt;&gt;"",INDEX(TableQCalcMain[Harmonized_Code],TableQCalcMain[[#This Row],[RowNumOfShownItems_SOFT]]),"")</f>
        <v/>
      </c>
      <c r="W29" s="66" t="str">
        <f>IF(TableQCalcMain[[#This Row],[RowNumOfShownItems_SOFT]]="","",INDEX(TableQCalcMain[Detailed_Ext_Price],TableQCalcMain[[#This Row],[RowNumOfShownItems_SOFT]]))</f>
        <v/>
      </c>
      <c r="X29" s="66" t="str">
        <f>IF(TableQCalcMain[[#This Row],[RowNumOfShownItems_SOFT]]="","",INDEX(TableQCalcMain[Real_Quantity],TableQCalcMain[[#This Row],[RowNumOfShownItems_SOFT]]))</f>
        <v/>
      </c>
      <c r="Y29" s="66" t="str">
        <f>IF(TableQCalcMain[[#This Row],[RowNumOfShownItems_SOFT]]="","",INDEX(TableQCalcMain[Unit_Price],TableQCalcMain[[#This Row],[RowNumOfShownItems_SOFT]]))</f>
        <v/>
      </c>
      <c r="Z29" s="66" t="str">
        <f>IF(TableQCalcMain[[#This Row],[RowNumOfShownItems_SOFT]]="","",INDEX(TableQCalcMain[Extended_price],TableQCalcMain[[#This Row],[RowNumOfShownItems_SOFT]]))</f>
        <v/>
      </c>
      <c r="AA29" t="str">
        <f t="array" ref="AA29">IFERROR(MATCH(0,COUNTIF(U$2:$U28,TableQCalcMain[Description])+IF(TableQCalcMain[ShowSoft]=0,1,0),0),"")</f>
        <v/>
      </c>
      <c r="AB29" s="66" t="str">
        <f>IF(TableQCalcMain[[#This Row],[RowNumOfShownItems_Hard]]&lt;&gt;"",INDEX(TableQCalcMain[Description],TableQCalcMain[[#This Row],[RowNumOfShownItems_Hard]]),"")</f>
        <v/>
      </c>
      <c r="AC29" s="66" t="str">
        <f>IF(TableQCalcMain[[#This Row],[RowNumOfShownItems_Hard]]&lt;&gt;"",INDEX(TableQCalcMain[Harmonized_Code],TableQCalcMain[[#This Row],[RowNumOfShownItems_Hard]]),"")</f>
        <v/>
      </c>
      <c r="AD29" s="66" t="str">
        <f>IF(TableQCalcMain[[#This Row],[RowNumOfShownItems_Hard]]="","",INDEX(TableQCalcMain[Detailed_Ext_Price],TableQCalcMain[[#This Row],[RowNumOfShownItems_Hard]]))</f>
        <v/>
      </c>
      <c r="AE29" s="66" t="str">
        <f>IF(TableQCalcMain[[#This Row],[RowNumOfShownItems_Hard]]="","",INDEX(TableQCalcMain[Real_Quantity],TableQCalcMain[[#This Row],[RowNumOfShownItems_Hard]]))</f>
        <v/>
      </c>
      <c r="AF29" s="66" t="str">
        <f>IF(TableQCalcMain[[#This Row],[RowNumOfShownItems_Hard]]="","",
IF(IFERROR(
INDEX(TableQCalcMain[Unit_Price],TableQCalcMain[[#This Row],[RowNumOfShownItems_Hard]]),0)=0,"",
INDEX(TableQCalcMain[Unit_Price],TableQCalcMain[[#This Row],[RowNumOfShownItems_Hard]])
))</f>
        <v/>
      </c>
      <c r="AG29" s="66" t="str">
        <f>IF(TableQCalcMain[[#This Row],[RowNumOfShownItems_Hard]]="","",
IF(IFERROR(
INDEX(TableQCalcMain[Extended_price],TableQCalcMain[[#This Row],[RowNumOfShownItems_Hard]]),0)=0,"",
INDEX(TableQCalcMain[Extended_price],TableQCalcMain[[#This Row],[RowNumOfShownItems_Hard]])
))</f>
        <v/>
      </c>
      <c r="AH29" s="66" t="str">
        <f t="array" ref="AH29">IFERROR(MATCH(0,COUNTIF(AB$2:$AB28,TableQCalcMain[Description])+IF(TableQCalcMain[ShowHard]=0,1,0),0),"")</f>
        <v/>
      </c>
    </row>
    <row r="30" spans="2:34" ht="15.5" customHeight="1" x14ac:dyDescent="0.2">
      <c r="B30" s="66" t="s">
        <v>25</v>
      </c>
      <c r="C30" s="591">
        <f>RHIZO_N_System-1</f>
        <v>0</v>
      </c>
      <c r="D30" s="66">
        <f>IF(IFERROR(WinRHIZO!$H$14+0,0)&gt;0,RHIZO_N_System-1,0)</f>
        <v>0</v>
      </c>
      <c r="E30" s="66">
        <v>1</v>
      </c>
      <c r="F30" s="66">
        <v>1</v>
      </c>
      <c r="G30" s="66">
        <v>0</v>
      </c>
      <c r="H30" s="66">
        <v>0</v>
      </c>
      <c r="I30" s="591" t="str">
        <f>WinRHIZO!E2 &amp; IF(Francais," Incluant:"," Including:")&amp; REPT(" ",1)</f>
        <v xml:space="preserve">WinRHIZO™ Pro 2025 Software With Scanner Including: </v>
      </c>
      <c r="J30" s="66">
        <f>WinRHIZO!I14</f>
        <v>903149</v>
      </c>
      <c r="K30" s="689" t="e">
        <f>TableQCalcMain[[#This Row],[Extended_price]]</f>
        <v>#REF!</v>
      </c>
      <c r="L30" s="66" t="e">
        <f>IF(OR(TableQCalcMain[[#This Row],[Real_Quantity]]=0,TableQCalcMain[[#This Row],[Extended_price]]=0),"",ROUND(TableQCalcMain[[#This Row],[Extended_price]]/TableQCalcMain[[#This Row],[Real_Quantity]],2))</f>
        <v>#REF!</v>
      </c>
      <c r="M30" s="715" t="e">
        <f>ROUND(
IF(Distributeurs_Rabais,
WinRHIZO!#REF! + WinRHIZO!#REF!,
WinRHIZO!H11 + WinRHIZO!H14)+K32,
0)</f>
        <v>#REF!</v>
      </c>
      <c r="N30" s="77" t="str">
        <f>IF(TableQCalcMain[[#This Row],[RowNumOfShownItems_Unsplit]]&lt;&gt;"",INDEX(TableQCalcMain[Description],TableQCalcMain[[#This Row],[RowNumOfShownItems_Unsplit]]),"")</f>
        <v/>
      </c>
      <c r="O30" s="66" t="str">
        <f>IF(TableQCalcMain[[#This Row],[RowNumOfShownItems_Unsplit]]&lt;&gt;"",INDEX(TableQCalcMain[Harmonized_Code],TableQCalcMain[[#This Row],[RowNumOfShownItems_Unsplit]]),"")</f>
        <v/>
      </c>
      <c r="P30" s="66" t="str">
        <f>IF(TableQCalcMain[[#This Row],[RowNumOfShownItems_Unsplit]]="","",INDEX(TableQCalcMain[Detailed_Ext_Price],TableQCalcMain[[#This Row],[RowNumOfShownItems_Unsplit]]))</f>
        <v/>
      </c>
      <c r="Q30" s="66" t="str">
        <f>IF(TableQCalcMain[[#This Row],[RowNumOfShownItems_Unsplit]]="","",INDEX(TableQCalcMain[Real_Quantity],TableQCalcMain[[#This Row],[RowNumOfShownItems_Unsplit]]))</f>
        <v/>
      </c>
      <c r="R30" s="66" t="str">
        <f>IF(TableQCalcMain[[#This Row],[RowNumOfShownItems_Unsplit]]="","",
IF(IFERROR(
INDEX(TableQCalcMain[Unit_Price],TableQCalcMain[[#This Row],[RowNumOfShownItems_Unsplit]]),0)=0,"",
INDEX(TableQCalcMain[Unit_Price],TableQCalcMain[[#This Row],[RowNumOfShownItems_Unsplit]])
))</f>
        <v/>
      </c>
      <c r="S30" s="66" t="str">
        <f>IF(TableQCalcMain[[#This Row],[RowNumOfShownItems_Unsplit]]="","",
IF(IFERROR(
INDEX(TableQCalcMain[Extended_price],TableQCalcMain[[#This Row],[RowNumOfShownItems_Unsplit]]),0)=0,"",
INDEX(TableQCalcMain[Extended_price],TableQCalcMain[[#This Row],[RowNumOfShownItems_Unsplit]])
))</f>
        <v/>
      </c>
      <c r="T30" t="str">
        <f t="array" ref="T30">IFERROR(MATCH(0,COUNTIF(N$2:$N29,TableQCalcMain[Description])+IF(TableQCalcMain[ShowDesc?]=0,1,0),0),"")</f>
        <v/>
      </c>
      <c r="U30" s="66" t="str">
        <f>IF(TableQCalcMain[[#This Row],[RowNumOfShownItems_SOFT]]&lt;&gt;"",INDEX(TableQCalcMain[Description],TableQCalcMain[[#This Row],[RowNumOfShownItems_SOFT]]),"")</f>
        <v/>
      </c>
      <c r="V30" s="66" t="str">
        <f>IF(TableQCalcMain[[#This Row],[RowNumOfShownItems_SOFT]]&lt;&gt;"",INDEX(TableQCalcMain[Harmonized_Code],TableQCalcMain[[#This Row],[RowNumOfShownItems_SOFT]]),"")</f>
        <v/>
      </c>
      <c r="W30" s="66" t="str">
        <f>IF(TableQCalcMain[[#This Row],[RowNumOfShownItems_SOFT]]="","",INDEX(TableQCalcMain[Detailed_Ext_Price],TableQCalcMain[[#This Row],[RowNumOfShownItems_SOFT]]))</f>
        <v/>
      </c>
      <c r="X30" s="66" t="str">
        <f>IF(TableQCalcMain[[#This Row],[RowNumOfShownItems_SOFT]]="","",INDEX(TableQCalcMain[Real_Quantity],TableQCalcMain[[#This Row],[RowNumOfShownItems_SOFT]]))</f>
        <v/>
      </c>
      <c r="Y30" s="66" t="str">
        <f>IF(TableQCalcMain[[#This Row],[RowNumOfShownItems_SOFT]]="","",INDEX(TableQCalcMain[Unit_Price],TableQCalcMain[[#This Row],[RowNumOfShownItems_SOFT]]))</f>
        <v/>
      </c>
      <c r="Z30" s="66" t="str">
        <f>IF(TableQCalcMain[[#This Row],[RowNumOfShownItems_SOFT]]="","",INDEX(TableQCalcMain[Extended_price],TableQCalcMain[[#This Row],[RowNumOfShownItems_SOFT]]))</f>
        <v/>
      </c>
      <c r="AA30" t="str">
        <f t="array" ref="AA30">IFERROR(MATCH(0,COUNTIF(U$2:$U29,TableQCalcMain[Description])+IF(TableQCalcMain[ShowSoft]=0,1,0),0),"")</f>
        <v/>
      </c>
      <c r="AB30" s="66" t="str">
        <f>IF(TableQCalcMain[[#This Row],[RowNumOfShownItems_Hard]]&lt;&gt;"",INDEX(TableQCalcMain[Description],TableQCalcMain[[#This Row],[RowNumOfShownItems_Hard]]),"")</f>
        <v/>
      </c>
      <c r="AC30" s="66" t="str">
        <f>IF(TableQCalcMain[[#This Row],[RowNumOfShownItems_Hard]]&lt;&gt;"",INDEX(TableQCalcMain[Harmonized_Code],TableQCalcMain[[#This Row],[RowNumOfShownItems_Hard]]),"")</f>
        <v/>
      </c>
      <c r="AD30" s="66" t="str">
        <f>IF(TableQCalcMain[[#This Row],[RowNumOfShownItems_Hard]]="","",INDEX(TableQCalcMain[Detailed_Ext_Price],TableQCalcMain[[#This Row],[RowNumOfShownItems_Hard]]))</f>
        <v/>
      </c>
      <c r="AE30" s="66" t="str">
        <f>IF(TableQCalcMain[[#This Row],[RowNumOfShownItems_Hard]]="","",INDEX(TableQCalcMain[Real_Quantity],TableQCalcMain[[#This Row],[RowNumOfShownItems_Hard]]))</f>
        <v/>
      </c>
      <c r="AF30" s="66" t="str">
        <f>IF(TableQCalcMain[[#This Row],[RowNumOfShownItems_Hard]]="","",
IF(IFERROR(
INDEX(TableQCalcMain[Unit_Price],TableQCalcMain[[#This Row],[RowNumOfShownItems_Hard]]),0)=0,"",
INDEX(TableQCalcMain[Unit_Price],TableQCalcMain[[#This Row],[RowNumOfShownItems_Hard]])
))</f>
        <v/>
      </c>
      <c r="AG30" s="66" t="str">
        <f>IF(TableQCalcMain[[#This Row],[RowNumOfShownItems_Hard]]="","",
IF(IFERROR(
INDEX(TableQCalcMain[Extended_price],TableQCalcMain[[#This Row],[RowNumOfShownItems_Hard]]),0)=0,"",
INDEX(TableQCalcMain[Extended_price],TableQCalcMain[[#This Row],[RowNumOfShownItems_Hard]])
))</f>
        <v/>
      </c>
      <c r="AH30" s="66" t="str">
        <f t="array" ref="AH30">IFERROR(MATCH(0,COUNTIF(AB$2:$AB29,TableQCalcMain[Description])+IF(TableQCalcMain[ShowHard]=0,1,0),0),"")</f>
        <v/>
      </c>
    </row>
    <row r="31" spans="2:34" ht="15.5" customHeight="1" x14ac:dyDescent="0.2">
      <c r="B31" s="687" t="s">
        <v>23</v>
      </c>
      <c r="C31" s="688">
        <f>IF(AND(NOT(QUOTE_Split_SoftwareHardware),N(D30)&gt;0),
IF(RHIZO_N_Software-1=0,0,""),
RHIZO_N_Software-1)</f>
        <v>0</v>
      </c>
      <c r="D31" s="66">
        <f>TableQCalcMain[[#This Row],[Real_Quantity]]</f>
        <v>0</v>
      </c>
      <c r="E31" s="66">
        <v>1</v>
      </c>
      <c r="F31" s="66"/>
      <c r="G31" s="66">
        <f>N(TableQCalcMain[[#This Row],[ShowDesc?]])*TableQCalcMain[[#This Row],[Software]]</f>
        <v>0</v>
      </c>
      <c r="H31" s="66">
        <f>N(TableQCalcMain[[#This Row],[ShowDesc?]])*TableQCalcMain[[#This Row],[Hardware]]</f>
        <v>0</v>
      </c>
      <c r="I31" s="591" t="str">
        <f>IF(OR(RHIZO_N_System=1,QUOTE_Split_SoftwareHardware),"","   • ") &amp; SUBSTITUTE(LEFT(INDEX(RHIZO_SoftwareFullNames,RHIZO_IndexSoftware),FIND(" ",INDEX(RHIZO_SoftwareFullNames,RHIZO_IndexSoftware),FIND(" ",INDEX(RHIZO_SoftwareFullNames,RHIZO_IndexSoftware))+1)),"™",IF(OR(RHIZO_N_System=1,QUOTE_Split_SoftwareHardware),"™",""))&amp;
RHIZO_YearMostRecent &amp; " " &amp; "&amp;" &amp; " XLRhizo"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IF(AND(QUOTE_SameClient=TRUE,RHIZO_N_Software+RHIZO_N_AlreadyHaveSoftware&gt;3),IF(Francais," (incl. rabais multi licenses"," (incl. multi licenses discount")&amp;
" "&amp;TEXT(ROUND((INDEX(RHIZO_SoftwarePriceList,RHIZO_IndexSoftware))*((RHIZO_N_Software-1)-IF(RHIZO_N_Software-1=0,0,SUM(MMULT(
  _xlfn.MUNIT(
    RHIZO_N_Software-1),
    INDEX(TableLists[Column10],RHIZO_N_AlreadyHaveSoftware-1+2):
    INDEX(TableLists[Column10],(RHIZO_N_AlreadyHaveSoftware-1+1)+(RHIZO_N_Software-1))
))))*(1-RebateSoftware*Distributeurs_Rabais),0),"0.00")&amp;")","")</f>
        <v>WinRHIZO™ Pro 2025 &amp; XLRhizo Software on USB drive (PDF &amp; printed manuals)</v>
      </c>
      <c r="J31" s="591">
        <f>IF(AND(RHIZO_N_System&gt;1,NOT(QUOTE_Split_SoftwareHardware)),
"",WinRHIZO!I11)</f>
        <v>852349</v>
      </c>
      <c r="K31" s="689">
        <f>ROUND((INDEX(RHIZO_SoftwarePriceList,RHIZO_IndexSoftware))*
IF(RHIZO_N_Software-1=0,0,SUM(MMULT(
  _xlfn.MUNIT(
    RHIZO_N_Software-1),
    INDEX(TableLists[Column10],RHIZO_N_AlreadyHaveSoftware-1+2):
    INDEX(TableLists[Column10],(RHIZO_N_AlreadyHaveSoftware-1+1)+(RHIZO_N_Software-1))
)))*(1-RebateSoftware*Distributeurs_Rabais)
-IF(QUOTE_Split_SoftwareHardware,PrixUSBKey*(RHIZO_N_Software-1),0),0)</f>
        <v>0</v>
      </c>
      <c r="L31" s="66" t="e">
        <f>ROUND(TableQCalcMain[[#This Row],[Extended_price]]/TableQCalcMain[[#This Row],[Real_Quantity]],2)</f>
        <v>#DIV/0!</v>
      </c>
      <c r="M31" s="591">
        <f>ROUND(
IF(RHIZO_N_System&gt;1,
IF(NOT(QUOTE_Split_SoftwareHardware),0,TableQCalcMain[[#This Row],[Detailed_Ext_Price]]),
(INDEX(RHIZO_SoftwarePriceList,RHIZO_IndexSoftware))*
IF(RHIZO_N_Software-1=0,0,SUM(MMULT(
  _xlfn.MUNIT(
    RHIZO_N_Software-1),
    INDEX(TableLists[Column10],RHIZO_N_AlreadyHaveSoftware-1+2):
    INDEX(TableLists[Column10],(RHIZO_N_AlreadyHaveSoftware-1+1)+(RHIZO_N_Software-1))
))
)*(1-RebateSoftware*Distributeurs_Rabais)
-IF(QUOTE_Split_SoftwareHardware,PrixUSBKey*(RHIZO_N_Software-1),0)),0)</f>
        <v>0</v>
      </c>
      <c r="N31" s="77" t="str">
        <f>IF(TableQCalcMain[[#This Row],[RowNumOfShownItems_Unsplit]]&lt;&gt;"",INDEX(TableQCalcMain[Description],TableQCalcMain[[#This Row],[RowNumOfShownItems_Unsplit]]),"")</f>
        <v/>
      </c>
      <c r="O31" s="66" t="str">
        <f>IF(TableQCalcMain[[#This Row],[RowNumOfShownItems_Unsplit]]&lt;&gt;"",INDEX(TableQCalcMain[Harmonized_Code],TableQCalcMain[[#This Row],[RowNumOfShownItems_Unsplit]]),"")</f>
        <v/>
      </c>
      <c r="P31" s="66" t="str">
        <f>IF(TableQCalcMain[[#This Row],[RowNumOfShownItems_Unsplit]]="","",INDEX(TableQCalcMain[Detailed_Ext_Price],TableQCalcMain[[#This Row],[RowNumOfShownItems_Unsplit]]))</f>
        <v/>
      </c>
      <c r="Q31" s="66" t="str">
        <f>IF(TableQCalcMain[[#This Row],[RowNumOfShownItems_Unsplit]]="","",INDEX(TableQCalcMain[Real_Quantity],TableQCalcMain[[#This Row],[RowNumOfShownItems_Unsplit]]))</f>
        <v/>
      </c>
      <c r="R31" s="66" t="str">
        <f>IF(TableQCalcMain[[#This Row],[RowNumOfShownItems_Unsplit]]="","",
IF(IFERROR(
INDEX(TableQCalcMain[Unit_Price],TableQCalcMain[[#This Row],[RowNumOfShownItems_Unsplit]]),0)=0,"",
INDEX(TableQCalcMain[Unit_Price],TableQCalcMain[[#This Row],[RowNumOfShownItems_Unsplit]])
))</f>
        <v/>
      </c>
      <c r="S31" s="66" t="str">
        <f>IF(TableQCalcMain[[#This Row],[RowNumOfShownItems_Unsplit]]="","",
IF(IFERROR(
INDEX(TableQCalcMain[Extended_price],TableQCalcMain[[#This Row],[RowNumOfShownItems_Unsplit]]),0)=0,"",
INDEX(TableQCalcMain[Extended_price],TableQCalcMain[[#This Row],[RowNumOfShownItems_Unsplit]])
))</f>
        <v/>
      </c>
      <c r="T31" t="str">
        <f t="array" ref="T31">IFERROR(MATCH(0,COUNTIF(N$2:$N30,TableQCalcMain[Description])+IF(TableQCalcMain[ShowDesc?]=0,1,0),0),"")</f>
        <v/>
      </c>
      <c r="U31" s="66" t="str">
        <f>IF(TableQCalcMain[[#This Row],[RowNumOfShownItems_SOFT]]&lt;&gt;"",INDEX(TableQCalcMain[Description],TableQCalcMain[[#This Row],[RowNumOfShownItems_SOFT]]),"")</f>
        <v/>
      </c>
      <c r="V31" s="66" t="str">
        <f>IF(TableQCalcMain[[#This Row],[RowNumOfShownItems_SOFT]]&lt;&gt;"",INDEX(TableQCalcMain[Harmonized_Code],TableQCalcMain[[#This Row],[RowNumOfShownItems_SOFT]]),"")</f>
        <v/>
      </c>
      <c r="W31" s="66" t="str">
        <f>IF(TableQCalcMain[[#This Row],[RowNumOfShownItems_SOFT]]="","",INDEX(TableQCalcMain[Detailed_Ext_Price],TableQCalcMain[[#This Row],[RowNumOfShownItems_SOFT]]))</f>
        <v/>
      </c>
      <c r="X31" s="66" t="str">
        <f>IF(TableQCalcMain[[#This Row],[RowNumOfShownItems_SOFT]]="","",INDEX(TableQCalcMain[Real_Quantity],TableQCalcMain[[#This Row],[RowNumOfShownItems_SOFT]]))</f>
        <v/>
      </c>
      <c r="Y31" s="66" t="str">
        <f>IF(TableQCalcMain[[#This Row],[RowNumOfShownItems_SOFT]]="","",INDEX(TableQCalcMain[Unit_Price],TableQCalcMain[[#This Row],[RowNumOfShownItems_SOFT]]))</f>
        <v/>
      </c>
      <c r="Z31" s="66" t="str">
        <f>IF(TableQCalcMain[[#This Row],[RowNumOfShownItems_SOFT]]="","",INDEX(TableQCalcMain[Extended_price],TableQCalcMain[[#This Row],[RowNumOfShownItems_SOFT]]))</f>
        <v/>
      </c>
      <c r="AA31" t="str">
        <f t="array" ref="AA31">IFERROR(MATCH(0,COUNTIF(U$2:$U30,TableQCalcMain[Description])+IF(TableQCalcMain[ShowSoft]=0,1,0),0),"")</f>
        <v/>
      </c>
      <c r="AB31" s="66" t="str">
        <f>IF(TableQCalcMain[[#This Row],[RowNumOfShownItems_Hard]]&lt;&gt;"",INDEX(TableQCalcMain[Description],TableQCalcMain[[#This Row],[RowNumOfShownItems_Hard]]),"")</f>
        <v/>
      </c>
      <c r="AC31" s="66" t="str">
        <f>IF(TableQCalcMain[[#This Row],[RowNumOfShownItems_Hard]]&lt;&gt;"",INDEX(TableQCalcMain[Harmonized_Code],TableQCalcMain[[#This Row],[RowNumOfShownItems_Hard]]),"")</f>
        <v/>
      </c>
      <c r="AD31" s="66" t="str">
        <f>IF(TableQCalcMain[[#This Row],[RowNumOfShownItems_Hard]]="","",INDEX(TableQCalcMain[Detailed_Ext_Price],TableQCalcMain[[#This Row],[RowNumOfShownItems_Hard]]))</f>
        <v/>
      </c>
      <c r="AE31" s="66" t="str">
        <f>IF(TableQCalcMain[[#This Row],[RowNumOfShownItems_Hard]]="","",INDEX(TableQCalcMain[Real_Quantity],TableQCalcMain[[#This Row],[RowNumOfShownItems_Hard]]))</f>
        <v/>
      </c>
      <c r="AF31" s="66" t="str">
        <f>IF(TableQCalcMain[[#This Row],[RowNumOfShownItems_Hard]]="","",
IF(IFERROR(
INDEX(TableQCalcMain[Unit_Price],TableQCalcMain[[#This Row],[RowNumOfShownItems_Hard]]),0)=0,"",
INDEX(TableQCalcMain[Unit_Price],TableQCalcMain[[#This Row],[RowNumOfShownItems_Hard]])
))</f>
        <v/>
      </c>
      <c r="AG31" s="66" t="str">
        <f>IF(TableQCalcMain[[#This Row],[RowNumOfShownItems_Hard]]="","",
IF(IFERROR(
INDEX(TableQCalcMain[Extended_price],TableQCalcMain[[#This Row],[RowNumOfShownItems_Hard]]),0)=0,"",
INDEX(TableQCalcMain[Extended_price],TableQCalcMain[[#This Row],[RowNumOfShownItems_Hard]])
))</f>
        <v/>
      </c>
      <c r="AH31" s="66" t="str">
        <f t="array" ref="AH31">IFERROR(MATCH(0,COUNTIF(AB$2:$AB30,TableQCalcMain[Description])+IF(TableQCalcMain[ShowHard]=0,1,0),0),"")</f>
        <v/>
      </c>
    </row>
    <row r="32" spans="2:34" ht="15.5" customHeight="1" x14ac:dyDescent="0.2">
      <c r="B32" s="710" t="s">
        <v>773</v>
      </c>
      <c r="C32" s="712" t="str">
        <f>""</f>
        <v/>
      </c>
      <c r="D32" s="712" t="e">
        <f>IF(AND(
C30&lt;&gt;0,C31=0,
NOT(QUOTE_Split_SoftwareHardware),
WinRHIZO!#REF!&gt;0
),C41,0)+N("Si il y a un système sans software (update only) et que facture est pas split, afficher UpgradeUpdate en tant que Software dans système")</f>
        <v>#REF!</v>
      </c>
      <c r="E32" s="66"/>
      <c r="F32" s="66"/>
      <c r="G32" s="66"/>
      <c r="H32" s="66"/>
      <c r="I32" s="710" t="e">
        <f>"   • " &amp; I41</f>
        <v>#REF!</v>
      </c>
      <c r="J32" s="710">
        <f>J41</f>
        <v>852349</v>
      </c>
      <c r="K32" s="710" t="e">
        <f>IF(TableQCalcMain[[#This Row],[ShowDesc?]]=0,0,M41)</f>
        <v>#REF!</v>
      </c>
      <c r="L32" s="66"/>
      <c r="M32" s="66"/>
      <c r="N32" s="77" t="str">
        <f>IF(TableQCalcMain[[#This Row],[RowNumOfShownItems_Unsplit]]&lt;&gt;"",INDEX(TableQCalcMain[Description],TableQCalcMain[[#This Row],[RowNumOfShownItems_Unsplit]]),"")</f>
        <v/>
      </c>
      <c r="O32" s="66" t="str">
        <f>IF(TableQCalcMain[[#This Row],[RowNumOfShownItems_Unsplit]]&lt;&gt;"",INDEX(TableQCalcMain[Harmonized_Code],TableQCalcMain[[#This Row],[RowNumOfShownItems_Unsplit]]),"")</f>
        <v/>
      </c>
      <c r="P32" s="66" t="str">
        <f>IF(TableQCalcMain[[#This Row],[RowNumOfShownItems_Unsplit]]="","",INDEX(TableQCalcMain[Detailed_Ext_Price],TableQCalcMain[[#This Row],[RowNumOfShownItems_Unsplit]]))</f>
        <v/>
      </c>
      <c r="Q32" s="66" t="str">
        <f>IF(TableQCalcMain[[#This Row],[RowNumOfShownItems_Unsplit]]="","",INDEX(TableQCalcMain[Real_Quantity],TableQCalcMain[[#This Row],[RowNumOfShownItems_Unsplit]]))</f>
        <v/>
      </c>
      <c r="R32" s="66" t="str">
        <f>IF(TableQCalcMain[[#This Row],[RowNumOfShownItems_Unsplit]]="","",
IF(IFERROR(
INDEX(TableQCalcMain[Unit_Price],TableQCalcMain[[#This Row],[RowNumOfShownItems_Unsplit]]),0)=0,"",
INDEX(TableQCalcMain[Unit_Price],TableQCalcMain[[#This Row],[RowNumOfShownItems_Unsplit]])
))</f>
        <v/>
      </c>
      <c r="S32" s="66" t="str">
        <f>IF(TableQCalcMain[[#This Row],[RowNumOfShownItems_Unsplit]]="","",
IF(IFERROR(
INDEX(TableQCalcMain[Extended_price],TableQCalcMain[[#This Row],[RowNumOfShownItems_Unsplit]]),0)=0,"",
INDEX(TableQCalcMain[Extended_price],TableQCalcMain[[#This Row],[RowNumOfShownItems_Unsplit]])
))</f>
        <v/>
      </c>
      <c r="T32" t="str">
        <f t="array" ref="T32">IFERROR(MATCH(0,COUNTIF(N$2:$N31,TableQCalcMain[Description])+IF(TableQCalcMain[ShowDesc?]=0,1,0),0),"")</f>
        <v/>
      </c>
      <c r="U32" s="66" t="str">
        <f>IF(TableQCalcMain[[#This Row],[RowNumOfShownItems_SOFT]]&lt;&gt;"",INDEX(TableQCalcMain[Description],TableQCalcMain[[#This Row],[RowNumOfShownItems_SOFT]]),"")</f>
        <v/>
      </c>
      <c r="V32" s="66" t="str">
        <f>IF(TableQCalcMain[[#This Row],[RowNumOfShownItems_SOFT]]&lt;&gt;"",INDEX(TableQCalcMain[Harmonized_Code],TableQCalcMain[[#This Row],[RowNumOfShownItems_SOFT]]),"")</f>
        <v/>
      </c>
      <c r="W32" s="66" t="str">
        <f>IF(TableQCalcMain[[#This Row],[RowNumOfShownItems_SOFT]]="","",INDEX(TableQCalcMain[Detailed_Ext_Price],TableQCalcMain[[#This Row],[RowNumOfShownItems_SOFT]]))</f>
        <v/>
      </c>
      <c r="X32" s="66" t="str">
        <f>IF(TableQCalcMain[[#This Row],[RowNumOfShownItems_SOFT]]="","",INDEX(TableQCalcMain[Real_Quantity],TableQCalcMain[[#This Row],[RowNumOfShownItems_SOFT]]))</f>
        <v/>
      </c>
      <c r="Y32" s="66" t="str">
        <f>IF(TableQCalcMain[[#This Row],[RowNumOfShownItems_SOFT]]="","",INDEX(TableQCalcMain[Unit_Price],TableQCalcMain[[#This Row],[RowNumOfShownItems_SOFT]]))</f>
        <v/>
      </c>
      <c r="Z32" s="66" t="str">
        <f>IF(TableQCalcMain[[#This Row],[RowNumOfShownItems_SOFT]]="","",INDEX(TableQCalcMain[Extended_price],TableQCalcMain[[#This Row],[RowNumOfShownItems_SOFT]]))</f>
        <v/>
      </c>
      <c r="AA32" t="str">
        <f t="array" ref="AA32">IFERROR(MATCH(0,COUNTIF(U$2:$U31,TableQCalcMain[Description])+IF(TableQCalcMain[ShowSoft]=0,1,0),0),"")</f>
        <v/>
      </c>
      <c r="AB32" s="66" t="str">
        <f>IF(TableQCalcMain[[#This Row],[RowNumOfShownItems_Hard]]&lt;&gt;"",INDEX(TableQCalcMain[Description],TableQCalcMain[[#This Row],[RowNumOfShownItems_Hard]]),"")</f>
        <v/>
      </c>
      <c r="AC32" s="66" t="str">
        <f>IF(TableQCalcMain[[#This Row],[RowNumOfShownItems_Hard]]&lt;&gt;"",INDEX(TableQCalcMain[Harmonized_Code],TableQCalcMain[[#This Row],[RowNumOfShownItems_Hard]]),"")</f>
        <v/>
      </c>
      <c r="AD32" s="66" t="str">
        <f>IF(TableQCalcMain[[#This Row],[RowNumOfShownItems_Hard]]="","",INDEX(TableQCalcMain[Detailed_Ext_Price],TableQCalcMain[[#This Row],[RowNumOfShownItems_Hard]]))</f>
        <v/>
      </c>
      <c r="AE32" s="66" t="str">
        <f>IF(TableQCalcMain[[#This Row],[RowNumOfShownItems_Hard]]="","",INDEX(TableQCalcMain[Real_Quantity],TableQCalcMain[[#This Row],[RowNumOfShownItems_Hard]]))</f>
        <v/>
      </c>
      <c r="AF32" s="66" t="str">
        <f>IF(TableQCalcMain[[#This Row],[RowNumOfShownItems_Hard]]="","",
IF(IFERROR(
INDEX(TableQCalcMain[Unit_Price],TableQCalcMain[[#This Row],[RowNumOfShownItems_Hard]]),0)=0,"",
INDEX(TableQCalcMain[Unit_Price],TableQCalcMain[[#This Row],[RowNumOfShownItems_Hard]])
))</f>
        <v/>
      </c>
      <c r="AG32" s="66" t="str">
        <f>IF(TableQCalcMain[[#This Row],[RowNumOfShownItems_Hard]]="","",
IF(IFERROR(
INDEX(TableQCalcMain[Extended_price],TableQCalcMain[[#This Row],[RowNumOfShownItems_Hard]]),0)=0,"",
INDEX(TableQCalcMain[Extended_price],TableQCalcMain[[#This Row],[RowNumOfShownItems_Hard]])
))</f>
        <v/>
      </c>
      <c r="AH32" s="66" t="str">
        <f t="array" ref="AH32">IFERROR(MATCH(0,COUNTIF(AB$2:$AB31,TableQCalcMain[Description])+IF(TableQCalcMain[ShowHard]=0,1,0),0),"")</f>
        <v/>
      </c>
    </row>
    <row r="33" spans="2:34" ht="15.5" customHeight="1" x14ac:dyDescent="0.2">
      <c r="B33" s="608" t="s">
        <v>342</v>
      </c>
      <c r="C33" s="66" t="str">
        <f>""</f>
        <v/>
      </c>
      <c r="D33" s="66">
        <f>IF(QUOTE_Split_SoftwareHardware,N($C$31),0)</f>
        <v>0</v>
      </c>
      <c r="E33" s="66">
        <v>1</v>
      </c>
      <c r="F33" s="66"/>
      <c r="G33" s="66">
        <f>TableQCalcMain[[#This Row],[ShowDesc?]]*TableQCalcMain[[#This Row],[Software]]</f>
        <v>0</v>
      </c>
      <c r="H33" s="66"/>
      <c r="I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",4)</f>
        <v xml:space="preserve">         • Software &amp; Instructions documents (PDF &amp; printed)    </v>
      </c>
      <c r="J33" s="66" t="str">
        <f>""</f>
        <v/>
      </c>
      <c r="K33" s="689" t="str">
        <f>""</f>
        <v/>
      </c>
      <c r="L33" s="66" t="str">
        <f>""</f>
        <v/>
      </c>
      <c r="M33" s="66" t="str">
        <f>""</f>
        <v/>
      </c>
      <c r="N33" s="77" t="str">
        <f>IF(TableQCalcMain[[#This Row],[RowNumOfShownItems_Unsplit]]&lt;&gt;"",INDEX(TableQCalcMain[Description],TableQCalcMain[[#This Row],[RowNumOfShownItems_Unsplit]]),"")</f>
        <v/>
      </c>
      <c r="O33" s="66" t="str">
        <f>IF(TableQCalcMain[[#This Row],[RowNumOfShownItems_Unsplit]]&lt;&gt;"",INDEX(TableQCalcMain[Harmonized_Code],TableQCalcMain[[#This Row],[RowNumOfShownItems_Unsplit]]),"")</f>
        <v/>
      </c>
      <c r="P33" s="66" t="str">
        <f>IF(TableQCalcMain[[#This Row],[RowNumOfShownItems_Unsplit]]="","",INDEX(TableQCalcMain[Detailed_Ext_Price],TableQCalcMain[[#This Row],[RowNumOfShownItems_Unsplit]]))</f>
        <v/>
      </c>
      <c r="Q33" s="66" t="str">
        <f>IF(TableQCalcMain[[#This Row],[RowNumOfShownItems_Unsplit]]="","",INDEX(TableQCalcMain[Real_Quantity],TableQCalcMain[[#This Row],[RowNumOfShownItems_Unsplit]]))</f>
        <v/>
      </c>
      <c r="R33" s="66" t="str">
        <f>IF(TableQCalcMain[[#This Row],[RowNumOfShownItems_Unsplit]]="","",
IF(IFERROR(
INDEX(TableQCalcMain[Unit_Price],TableQCalcMain[[#This Row],[RowNumOfShownItems_Unsplit]]),0)=0,"",
INDEX(TableQCalcMain[Unit_Price],TableQCalcMain[[#This Row],[RowNumOfShownItems_Unsplit]])
))</f>
        <v/>
      </c>
      <c r="S33" s="66" t="str">
        <f>IF(TableQCalcMain[[#This Row],[RowNumOfShownItems_Unsplit]]="","",
IF(IFERROR(
INDEX(TableQCalcMain[Extended_price],TableQCalcMain[[#This Row],[RowNumOfShownItems_Unsplit]]),0)=0,"",
INDEX(TableQCalcMain[Extended_price],TableQCalcMain[[#This Row],[RowNumOfShownItems_Unsplit]])
))</f>
        <v/>
      </c>
      <c r="T33" t="str">
        <f t="array" ref="T33">IFERROR(MATCH(0,COUNTIF(N$2:$N32,TableQCalcMain[Description])+IF(TableQCalcMain[ShowDesc?]=0,1,0),0),"")</f>
        <v/>
      </c>
      <c r="U33" s="66" t="str">
        <f>IF(TableQCalcMain[[#This Row],[RowNumOfShownItems_SOFT]]&lt;&gt;"",INDEX(TableQCalcMain[Description],TableQCalcMain[[#This Row],[RowNumOfShownItems_SOFT]]),"")</f>
        <v/>
      </c>
      <c r="V33" s="66" t="str">
        <f>IF(TableQCalcMain[[#This Row],[RowNumOfShownItems_SOFT]]&lt;&gt;"",INDEX(TableQCalcMain[Harmonized_Code],TableQCalcMain[[#This Row],[RowNumOfShownItems_SOFT]]),"")</f>
        <v/>
      </c>
      <c r="W33" s="66" t="str">
        <f>IF(TableQCalcMain[[#This Row],[RowNumOfShownItems_SOFT]]="","",INDEX(TableQCalcMain[Detailed_Ext_Price],TableQCalcMain[[#This Row],[RowNumOfShownItems_SOFT]]))</f>
        <v/>
      </c>
      <c r="X33" s="66" t="str">
        <f>IF(TableQCalcMain[[#This Row],[RowNumOfShownItems_SOFT]]="","",INDEX(TableQCalcMain[Real_Quantity],TableQCalcMain[[#This Row],[RowNumOfShownItems_SOFT]]))</f>
        <v/>
      </c>
      <c r="Y33" s="66" t="str">
        <f>IF(TableQCalcMain[[#This Row],[RowNumOfShownItems_SOFT]]="","",INDEX(TableQCalcMain[Unit_Price],TableQCalcMain[[#This Row],[RowNumOfShownItems_SOFT]]))</f>
        <v/>
      </c>
      <c r="Z33" s="66" t="str">
        <f>IF(TableQCalcMain[[#This Row],[RowNumOfShownItems_SOFT]]="","",INDEX(TableQCalcMain[Extended_price],TableQCalcMain[[#This Row],[RowNumOfShownItems_SOFT]]))</f>
        <v/>
      </c>
      <c r="AA33" t="str">
        <f t="array" ref="AA33">IFERROR(MATCH(0,COUNTIF(U$2:$U32,TableQCalcMain[Description])+IF(TableQCalcMain[ShowSoft]=0,1,0),0),"")</f>
        <v/>
      </c>
      <c r="AB33" s="66" t="str">
        <f>IF(TableQCalcMain[[#This Row],[RowNumOfShownItems_Hard]]&lt;&gt;"",INDEX(TableQCalcMain[Description],TableQCalcMain[[#This Row],[RowNumOfShownItems_Hard]]),"")</f>
        <v/>
      </c>
      <c r="AC33" s="66" t="str">
        <f>IF(TableQCalcMain[[#This Row],[RowNumOfShownItems_Hard]]&lt;&gt;"",INDEX(TableQCalcMain[Harmonized_Code],TableQCalcMain[[#This Row],[RowNumOfShownItems_Hard]]),"")</f>
        <v/>
      </c>
      <c r="AD33" s="66" t="str">
        <f>IF(TableQCalcMain[[#This Row],[RowNumOfShownItems_Hard]]="","",INDEX(TableQCalcMain[Detailed_Ext_Price],TableQCalcMain[[#This Row],[RowNumOfShownItems_Hard]]))</f>
        <v/>
      </c>
      <c r="AE33" s="66" t="str">
        <f>IF(TableQCalcMain[[#This Row],[RowNumOfShownItems_Hard]]="","",INDEX(TableQCalcMain[Real_Quantity],TableQCalcMain[[#This Row],[RowNumOfShownItems_Hard]]))</f>
        <v/>
      </c>
      <c r="AF33" s="66" t="str">
        <f>IF(TableQCalcMain[[#This Row],[RowNumOfShownItems_Hard]]="","",
IF(IFERROR(
INDEX(TableQCalcMain[Unit_Price],TableQCalcMain[[#This Row],[RowNumOfShownItems_Hard]]),0)=0,"",
INDEX(TableQCalcMain[Unit_Price],TableQCalcMain[[#This Row],[RowNumOfShownItems_Hard]])
))</f>
        <v/>
      </c>
      <c r="AG33" s="66" t="str">
        <f>IF(TableQCalcMain[[#This Row],[RowNumOfShownItems_Hard]]="","",
IF(IFERROR(
INDEX(TableQCalcMain[Extended_price],TableQCalcMain[[#This Row],[RowNumOfShownItems_Hard]]),0)=0,"",
INDEX(TableQCalcMain[Extended_price],TableQCalcMain[[#This Row],[RowNumOfShownItems_Hard]])
))</f>
        <v/>
      </c>
      <c r="AH33" s="66" t="str">
        <f t="array" ref="AH33">IFERROR(MATCH(0,COUNTIF(AB$2:$AB32,TableQCalcMain[Description])+IF(TableQCalcMain[ShowHard]=0,1,0),0),"")</f>
        <v/>
      </c>
    </row>
    <row r="34" spans="2:34" ht="15.5" customHeight="1" x14ac:dyDescent="0.2">
      <c r="B34" s="66" t="s">
        <v>24</v>
      </c>
      <c r="C34" s="66">
        <f>RHIZO_OptionXL*(RHIZO_N_Software-1)</f>
        <v>0</v>
      </c>
      <c r="D34" s="66">
        <f>0*RHIZO_OptionXL*(RHIZO_N_Software-1)</f>
        <v>0</v>
      </c>
      <c r="E34" s="66">
        <v>1</v>
      </c>
      <c r="F34" s="66"/>
      <c r="G34" s="66">
        <f>TableQCalcMain[[#This Row],[ShowDesc?]]*TableQCalcMain[[#This Row],[Software]]</f>
        <v>0</v>
      </c>
      <c r="H34" s="66">
        <f>TableQCalcMain[[#This Row],[ShowDesc?]]*TableQCalcMain[[#This Row],[Hardware]]</f>
        <v>0</v>
      </c>
      <c r="I34" s="66" t="str">
        <f>IF(RHIZO_N_System=1,"","   • ")&amp;IF(Francais,"XLRhizo Logiciel pour l'Analyse des données de WinRHIZO","XLRhizo Software for WinRHIZO's data Analysis")</f>
        <v>XLRhizo Software for WinRHIZO's data Analysis</v>
      </c>
      <c r="J34" s="66" t="str">
        <f>""</f>
        <v/>
      </c>
      <c r="K34" s="689" t="s">
        <v>171</v>
      </c>
      <c r="L34" s="66" t="str">
        <f>""</f>
        <v/>
      </c>
      <c r="M34" s="66" t="str">
        <f>""</f>
        <v/>
      </c>
      <c r="N34" s="77" t="str">
        <f>IF(TableQCalcMain[[#This Row],[RowNumOfShownItems_Unsplit]]&lt;&gt;"",INDEX(TableQCalcMain[Description],TableQCalcMain[[#This Row],[RowNumOfShownItems_Unsplit]]),"")</f>
        <v/>
      </c>
      <c r="O34" s="66" t="str">
        <f>IF(TableQCalcMain[[#This Row],[RowNumOfShownItems_Unsplit]]&lt;&gt;"",INDEX(TableQCalcMain[Harmonized_Code],TableQCalcMain[[#This Row],[RowNumOfShownItems_Unsplit]]),"")</f>
        <v/>
      </c>
      <c r="P34" s="66" t="str">
        <f>IF(TableQCalcMain[[#This Row],[RowNumOfShownItems_Unsplit]]="","",INDEX(TableQCalcMain[Detailed_Ext_Price],TableQCalcMain[[#This Row],[RowNumOfShownItems_Unsplit]]))</f>
        <v/>
      </c>
      <c r="Q34" s="66" t="str">
        <f>IF(TableQCalcMain[[#This Row],[RowNumOfShownItems_Unsplit]]="","",INDEX(TableQCalcMain[Real_Quantity],TableQCalcMain[[#This Row],[RowNumOfShownItems_Unsplit]]))</f>
        <v/>
      </c>
      <c r="R34" s="66" t="str">
        <f>IF(TableQCalcMain[[#This Row],[RowNumOfShownItems_Unsplit]]="","",
IF(IFERROR(
INDEX(TableQCalcMain[Unit_Price],TableQCalcMain[[#This Row],[RowNumOfShownItems_Unsplit]]),0)=0,"",
INDEX(TableQCalcMain[Unit_Price],TableQCalcMain[[#This Row],[RowNumOfShownItems_Unsplit]])
))</f>
        <v/>
      </c>
      <c r="S34" s="66" t="str">
        <f>IF(TableQCalcMain[[#This Row],[RowNumOfShownItems_Unsplit]]="","",
IF(IFERROR(
INDEX(TableQCalcMain[Extended_price],TableQCalcMain[[#This Row],[RowNumOfShownItems_Unsplit]]),0)=0,"",
INDEX(TableQCalcMain[Extended_price],TableQCalcMain[[#This Row],[RowNumOfShownItems_Unsplit]])
))</f>
        <v/>
      </c>
      <c r="T34" t="str">
        <f t="array" ref="T34">IFERROR(MATCH(0,COUNTIF(N$2:$N33,TableQCalcMain[Description])+IF(TableQCalcMain[ShowDesc?]=0,1,0),0),"")</f>
        <v/>
      </c>
      <c r="U34" s="614"/>
      <c r="V34" s="614"/>
      <c r="W34" s="614"/>
      <c r="X34" s="614"/>
      <c r="Y34" s="614"/>
      <c r="Z34" s="614"/>
      <c r="AA34" s="614"/>
      <c r="AB34" s="614"/>
      <c r="AC34" s="614"/>
      <c r="AD34" s="614"/>
      <c r="AE34" s="614"/>
      <c r="AF34" s="614"/>
      <c r="AG34" s="614"/>
      <c r="AH34" s="614"/>
    </row>
    <row r="35" spans="2:34" ht="15.5" customHeight="1" x14ac:dyDescent="0.2">
      <c r="B35" s="66" t="s">
        <v>337</v>
      </c>
      <c r="C35" s="66">
        <f>N($C$31)+N($C$41)</f>
        <v>0</v>
      </c>
      <c r="D35" s="66">
        <f>IF(AND(QUOTE_Split_SoftwareHardware,TableQCalcMain[[#This Row],[Real_Quantity]]&gt;0),1,0)</f>
        <v>0</v>
      </c>
      <c r="E35" s="66">
        <f>IF(QUOTE_InternetDownload,0,1)</f>
        <v>1</v>
      </c>
      <c r="F35" s="66">
        <f>IF(QUOTE_InternetDownload,1,0)</f>
        <v>0</v>
      </c>
      <c r="G35" s="66">
        <f>TableQCalcMain[[#This Row],[ShowDesc?]]*TableQCalcMain[[#This Row],[Software]]</f>
        <v>0</v>
      </c>
      <c r="H35" s="66">
        <f>TableQCalcMain[[#This Row],[ShowDesc?]]*TableQCalcMain[[#This Row],[Hardware]]</f>
        <v>0</v>
      </c>
      <c r="I35"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WinRHIZO</v>
      </c>
      <c r="J35" s="66">
        <v>852351</v>
      </c>
      <c r="K35" s="689">
        <f>TableQCalcMain[[#This Row],[Extended_price]]</f>
        <v>0</v>
      </c>
      <c r="L35" s="66" t="str">
        <f>IF(OR(TableQCalcMain[[#This Row],[Real_Quantity]]=0,TableQCalcMain[[#This Row],[Extended_price]]=0),"",ROUND(TableQCalcMain[[#This Row],[Extended_price]]/TableQCalcMain[[#This Row],[Real_Quantity]],2))</f>
        <v/>
      </c>
      <c r="M35" s="66">
        <f>PrixUSBKey*TableQCalcMain[[#This Row],[Real_Quantity]]</f>
        <v>0</v>
      </c>
      <c r="N35" s="77" t="str">
        <f>IF(TableQCalcMain[[#This Row],[RowNumOfShownItems_Unsplit]]&lt;&gt;"",INDEX(TableQCalcMain[Description],TableQCalcMain[[#This Row],[RowNumOfShownItems_Unsplit]]),"")</f>
        <v/>
      </c>
      <c r="O35" s="66" t="str">
        <f>IF(TableQCalcMain[[#This Row],[RowNumOfShownItems_Unsplit]]&lt;&gt;"",INDEX(TableQCalcMain[Harmonized_Code],TableQCalcMain[[#This Row],[RowNumOfShownItems_Unsplit]]),"")</f>
        <v/>
      </c>
      <c r="P35" s="66" t="str">
        <f>IF(TableQCalcMain[[#This Row],[RowNumOfShownItems_Unsplit]]="","",INDEX(TableQCalcMain[Detailed_Ext_Price],TableQCalcMain[[#This Row],[RowNumOfShownItems_Unsplit]]))</f>
        <v/>
      </c>
      <c r="Q35" s="66" t="str">
        <f>IF(TableQCalcMain[[#This Row],[RowNumOfShownItems_Unsplit]]="","",INDEX(TableQCalcMain[Real_Quantity],TableQCalcMain[[#This Row],[RowNumOfShownItems_Unsplit]]))</f>
        <v/>
      </c>
      <c r="R35" s="66" t="str">
        <f>IF(TableQCalcMain[[#This Row],[RowNumOfShownItems_Unsplit]]="","",
IF(IFERROR(
INDEX(TableQCalcMain[Unit_Price],TableQCalcMain[[#This Row],[RowNumOfShownItems_Unsplit]]),0)=0,"",
INDEX(TableQCalcMain[Unit_Price],TableQCalcMain[[#This Row],[RowNumOfShownItems_Unsplit]])
))</f>
        <v/>
      </c>
      <c r="S35" s="66" t="str">
        <f>IF(TableQCalcMain[[#This Row],[RowNumOfShownItems_Unsplit]]="","",
IF(IFERROR(
INDEX(TableQCalcMain[Extended_price],TableQCalcMain[[#This Row],[RowNumOfShownItems_Unsplit]]),0)=0,"",
INDEX(TableQCalcMain[Extended_price],TableQCalcMain[[#This Row],[RowNumOfShownItems_Unsplit]])
))</f>
        <v/>
      </c>
      <c r="T35" t="str">
        <f t="array" ref="T35">IFERROR(MATCH(0,COUNTIF(N$2:$N34,TableQCalcMain[Description])+IF(TableQCalcMain[ShowDesc?]=0,1,0),0),"")</f>
        <v/>
      </c>
      <c r="U35" s="614"/>
      <c r="V35" s="614"/>
      <c r="W35" s="614"/>
      <c r="X35" s="614"/>
      <c r="Y35" s="614"/>
      <c r="Z35" s="614"/>
      <c r="AA35" s="614"/>
      <c r="AB35" s="614"/>
      <c r="AC35" s="614"/>
      <c r="AD35" s="614"/>
      <c r="AE35" s="614"/>
      <c r="AF35" s="614"/>
      <c r="AG35" s="614"/>
      <c r="AH35" s="614"/>
    </row>
    <row r="36" spans="2:34" ht="15.5" customHeight="1" x14ac:dyDescent="0.2">
      <c r="B36" s="66" t="s">
        <v>96</v>
      </c>
      <c r="C36" s="66" t="str">
        <f>IF(NOT(QUOTE_Split_SoftwareHardware),"",C30)</f>
        <v/>
      </c>
      <c r="D36" s="66">
        <f>IF(RHIZO_ClientWithOrWithoutScanner=1,$D$30,0)</f>
        <v>0</v>
      </c>
      <c r="E36" s="66"/>
      <c r="F36" s="66">
        <v>1</v>
      </c>
      <c r="G36" s="66">
        <f>TableQCalcMain[[#This Row],[ShowDesc?]]*TableQCalcMain[[#This Row],[Software]]</f>
        <v>0</v>
      </c>
      <c r="H36" s="66">
        <f>TableQCalcMain[[#This Row],[ShowDesc?]]*TableQCalcMain[[#This Row],[Hardware]]</f>
        <v>0</v>
      </c>
      <c r="I36" s="591" t="str">
        <f>IF(OR(RHIZO_N_System=1,QUOTE_Split_SoftwareHardware),"","   • ") &amp; IF(RHIZO_IndexScanner=1,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RHIZO_Serial &amp;REPT(" ",1)</f>
        <v xml:space="preserve"> LA2400 Scanner: 2400 dpi, Scan Area 31x44cm (31x42cm with SL)          S/N: </v>
      </c>
      <c r="J36" s="66" t="str">
        <f>IF(QUOTE_Split_SoftwareHardware,ScannerHCode,"")</f>
        <v/>
      </c>
      <c r="K36" s="689">
        <f>IF(RHIZO_ClientWithOrWithoutScanner=1,
   IF(Distributeurs_Rabais,
      IF(RHIZO_IndexScanner=1,PrixSTD_Dist,IF(RHIZO_IndexScanner=2,PrixLA_Dist,PrixLC_Dist)),
      IF(RHIZO_IndexScanner=1,PrixSTD,          IF(RHIZO_IndexScanner=2,PrixLA,          PrixLC))
    ),
0)
*(RHIZO_N_System-1) -K39</f>
        <v>0</v>
      </c>
      <c r="L36" s="66">
        <f>IF(C30=0,0,ROUND(TableQCalcMain[[#This Row],[Extended_price]]/C30,2))</f>
        <v>0</v>
      </c>
      <c r="M36" s="66">
        <f>IF(NOT(QUOTE_Split_SoftwareHardware),0,TableQCalcMain[[#This Row],[Detailed_Ext_Price]]+K38+N(K37))</f>
        <v>0</v>
      </c>
      <c r="N36" s="77" t="str">
        <f>IF(TableQCalcMain[[#This Row],[RowNumOfShownItems_Unsplit]]&lt;&gt;"",INDEX(TableQCalcMain[Description],TableQCalcMain[[#This Row],[RowNumOfShownItems_Unsplit]]),"")</f>
        <v/>
      </c>
      <c r="O36" s="66" t="str">
        <f>IF(TableQCalcMain[[#This Row],[RowNumOfShownItems_Unsplit]]&lt;&gt;"",INDEX(TableQCalcMain[Harmonized_Code],TableQCalcMain[[#This Row],[RowNumOfShownItems_Unsplit]]),"")</f>
        <v/>
      </c>
      <c r="P36" s="66" t="str">
        <f>IF(TableQCalcMain[[#This Row],[RowNumOfShownItems_Unsplit]]="","",INDEX(TableQCalcMain[Detailed_Ext_Price],TableQCalcMain[[#This Row],[RowNumOfShownItems_Unsplit]]))</f>
        <v/>
      </c>
      <c r="Q36" s="66" t="str">
        <f>IF(TableQCalcMain[[#This Row],[RowNumOfShownItems_Unsplit]]="","",INDEX(TableQCalcMain[Real_Quantity],TableQCalcMain[[#This Row],[RowNumOfShownItems_Unsplit]]))</f>
        <v/>
      </c>
      <c r="R36" s="66" t="str">
        <f>IF(TableQCalcMain[[#This Row],[RowNumOfShownItems_Unsplit]]="","",
IF(IFERROR(
INDEX(TableQCalcMain[Unit_Price],TableQCalcMain[[#This Row],[RowNumOfShownItems_Unsplit]]),0)=0,"",
INDEX(TableQCalcMain[Unit_Price],TableQCalcMain[[#This Row],[RowNumOfShownItems_Unsplit]])
))</f>
        <v/>
      </c>
      <c r="S36" s="66" t="str">
        <f>IF(TableQCalcMain[[#This Row],[RowNumOfShownItems_Unsplit]]="","",
IF(IFERROR(
INDEX(TableQCalcMain[Extended_price],TableQCalcMain[[#This Row],[RowNumOfShownItems_Unsplit]]),0)=0,"",
INDEX(TableQCalcMain[Extended_price],TableQCalcMain[[#This Row],[RowNumOfShownItems_Unsplit]])
))</f>
        <v/>
      </c>
      <c r="T36" t="str">
        <f t="array" ref="T36">IFERROR(MATCH(0,COUNTIF(N$2:$N35,TableQCalcMain[Description])+IF(TableQCalcMain[ShowDesc?]=0,1,0),0),"")</f>
        <v/>
      </c>
      <c r="U36" s="614"/>
      <c r="V36" s="614"/>
      <c r="W36" s="614"/>
      <c r="X36" s="614"/>
      <c r="Y36" s="614"/>
      <c r="Z36" s="614"/>
      <c r="AA36" s="614"/>
      <c r="AB36" s="614"/>
      <c r="AC36" s="614"/>
      <c r="AD36" s="614"/>
      <c r="AE36" s="614"/>
      <c r="AF36" s="614"/>
      <c r="AG36" s="614"/>
      <c r="AH36" s="614"/>
    </row>
    <row r="37" spans="2:34" ht="15.5" customHeight="1" x14ac:dyDescent="0.2">
      <c r="B37" s="66" t="s">
        <v>97</v>
      </c>
      <c r="C37" s="591" t="str">
        <f>""</f>
        <v/>
      </c>
      <c r="D37" s="66">
        <f>IF(RHIZO_ClientWithOrWithoutScanner=1,$D$30,0)</f>
        <v>0</v>
      </c>
      <c r="E37" s="66"/>
      <c r="F37" s="66">
        <v>1</v>
      </c>
      <c r="G37" s="66">
        <f>TableQCalcMain[[#This Row],[ShowDesc?]]*TableQCalcMain[[#This Row],[Software]]</f>
        <v>0</v>
      </c>
      <c r="H37" s="66">
        <f>TableQCalcMain[[#This Row],[ShowDesc?]]*TableQCalcMain[[#This Row],[Hardware]]</f>
        <v>0</v>
      </c>
      <c r="I37" s="66" t="str">
        <f>"         " &amp; WinRHIZO!D16&amp;REPT(" ",1)  &amp;REPT(" ",20) &amp; "S/N:" &amp;RHIZO_SerialTPU</f>
        <v xml:space="preserve">         • Special Light (SL) for Roots, Seeds and Needles scanning                     S/N:</v>
      </c>
      <c r="J37" s="66" t="str">
        <f>""</f>
        <v/>
      </c>
      <c r="K37" s="689">
        <f>IF(RHIZO_IndexScanner=1,
"incl.",
IF(Distributeurs_Rabais,PrixTPU_Dist,PrixTPU)*(RHIZO_N_System-1)
)</f>
        <v>0</v>
      </c>
      <c r="L37" s="66" t="str">
        <f>""</f>
        <v/>
      </c>
      <c r="M37" s="66" t="str">
        <f>""</f>
        <v/>
      </c>
      <c r="N37" s="77" t="str">
        <f>IF(TableQCalcMain[[#This Row],[RowNumOfShownItems_Unsplit]]&lt;&gt;"",INDEX(TableQCalcMain[Description],TableQCalcMain[[#This Row],[RowNumOfShownItems_Unsplit]]),"")</f>
        <v/>
      </c>
      <c r="O37" s="66" t="str">
        <f>IF(TableQCalcMain[[#This Row],[RowNumOfShownItems_Unsplit]]&lt;&gt;"",INDEX(TableQCalcMain[Harmonized_Code],TableQCalcMain[[#This Row],[RowNumOfShownItems_Unsplit]]),"")</f>
        <v/>
      </c>
      <c r="P37" s="66" t="str">
        <f>IF(TableQCalcMain[[#This Row],[RowNumOfShownItems_Unsplit]]="","",INDEX(TableQCalcMain[Detailed_Ext_Price],TableQCalcMain[[#This Row],[RowNumOfShownItems_Unsplit]]))</f>
        <v/>
      </c>
      <c r="Q37" s="66" t="str">
        <f>IF(TableQCalcMain[[#This Row],[RowNumOfShownItems_Unsplit]]="","",INDEX(TableQCalcMain[Real_Quantity],TableQCalcMain[[#This Row],[RowNumOfShownItems_Unsplit]]))</f>
        <v/>
      </c>
      <c r="R37" s="66" t="str">
        <f>IF(TableQCalcMain[[#This Row],[RowNumOfShownItems_Unsplit]]="","",
IF(IFERROR(
INDEX(TableQCalcMain[Unit_Price],TableQCalcMain[[#This Row],[RowNumOfShownItems_Unsplit]]),0)=0,"",
INDEX(TableQCalcMain[Unit_Price],TableQCalcMain[[#This Row],[RowNumOfShownItems_Unsplit]])
))</f>
        <v/>
      </c>
      <c r="S37" s="66" t="str">
        <f>IF(TableQCalcMain[[#This Row],[RowNumOfShownItems_Unsplit]]="","",
IF(IFERROR(
INDEX(TableQCalcMain[Extended_price],TableQCalcMain[[#This Row],[RowNumOfShownItems_Unsplit]]),0)=0,"",
INDEX(TableQCalcMain[Extended_price],TableQCalcMain[[#This Row],[RowNumOfShownItems_Unsplit]])
))</f>
        <v/>
      </c>
      <c r="T37" t="str">
        <f t="array" ref="T37">IFERROR(MATCH(0,COUNTIF(N$2:$N36,TableQCalcMain[Description])+IF(TableQCalcMain[ShowDesc?]=0,1,0),0),"")</f>
        <v/>
      </c>
      <c r="U37" s="614"/>
      <c r="V37" s="614"/>
      <c r="W37" s="614"/>
      <c r="X37" s="614"/>
      <c r="Y37" s="614"/>
      <c r="Z37" s="614"/>
      <c r="AA37" s="614"/>
      <c r="AB37" s="614"/>
      <c r="AC37" s="614"/>
      <c r="AD37" s="614"/>
      <c r="AE37" s="614"/>
      <c r="AF37" s="614"/>
      <c r="AG37" s="614"/>
      <c r="AH37" s="614"/>
    </row>
    <row r="38" spans="2:34" ht="15.5" customHeight="1" x14ac:dyDescent="0.2">
      <c r="B38" s="66" t="s">
        <v>349</v>
      </c>
      <c r="C38" s="591" t="str">
        <f>IF(AND(QUOTE_Split_SoftwareHardware,RHIZO_PosiOrBlueBG_Checkbox,NOT(RHIZO_ClientWithOrWithoutScanner_ChkBox)),$C$30,"")</f>
        <v/>
      </c>
      <c r="D38" s="66">
        <f>IF(RHIZO_PosiOrBlueBG_Checkbox,D30,0)</f>
        <v>0</v>
      </c>
      <c r="E38" s="66"/>
      <c r="F38" s="66">
        <v>1</v>
      </c>
      <c r="G38" s="66">
        <f>TableQCalcMain[[#This Row],[ShowDesc?]]*TableQCalcMain[[#This Row],[Software]]</f>
        <v>0</v>
      </c>
      <c r="H38" s="66">
        <f>TableQCalcMain[[#This Row],[ShowDesc?]]*TableQCalcMain[[#This Row],[Hardware]]</f>
        <v>0</v>
      </c>
      <c r="I38" s="66" t="str">
        <f>SUBSTITUTE("         " &amp; WinRHIZO!D21,
"         • ",
IF(AND(QUOTE_Split_SoftwareHardware,NOT(RHIZO_ClientWithOrWithoutScanner_ChkBox)),"","         • "))</f>
        <v xml:space="preserve">         • Roots Positioning System for LA scanner (5 Trays, Frame, Blocks, Spacers, Blue background)</v>
      </c>
      <c r="J38" s="66" t="str">
        <f>IF(QUOTE_Split_SoftwareHardware,847330,"")</f>
        <v/>
      </c>
      <c r="K38" s="689">
        <f>ROUND(IF(RHIZO_IndexScanner=1,PrixRootPosiSTD,PrixRootPosiLA)*(RHIZO_PosiOrBlueBG_Checkbox)*(RHIZO_N_System-1)*(1-RebateHardware*Distributeurs_Rabais),0)</f>
        <v>0</v>
      </c>
      <c r="L38" s="66">
        <f>IF(AND(QUOTE_Split_SoftwareHardware,RHIZO_PosiOrBlueBG_Checkbox,NOT(RHIZO_ClientWithOrWithoutScanner_ChkBox)),TableQCalcMain[[#This Row],[Detailed_Ext_Price]]/TableQCalcMain[[#This Row],[ShowDesc?]],0)</f>
        <v>0</v>
      </c>
      <c r="M38" s="66">
        <f>IF(AND(QUOTE_Split_SoftwareHardware,RHIZO_PosiOrBlueBG_Checkbox,NOT(RHIZO_ClientWithOrWithoutScanner_ChkBox)),TableQCalcMain[[#This Row],[Detailed_Ext_Price]],0)</f>
        <v>0</v>
      </c>
      <c r="N38" s="77" t="str">
        <f>IF(TableQCalcMain[[#This Row],[RowNumOfShownItems_Unsplit]]&lt;&gt;"",INDEX(TableQCalcMain[Description],TableQCalcMain[[#This Row],[RowNumOfShownItems_Unsplit]]),"")</f>
        <v/>
      </c>
      <c r="O38" s="66" t="str">
        <f>IF(TableQCalcMain[[#This Row],[RowNumOfShownItems_Unsplit]]&lt;&gt;"",INDEX(TableQCalcMain[Harmonized_Code],TableQCalcMain[[#This Row],[RowNumOfShownItems_Unsplit]]),"")</f>
        <v/>
      </c>
      <c r="P38" s="66" t="str">
        <f>IF(TableQCalcMain[[#This Row],[RowNumOfShownItems_Unsplit]]="","",INDEX(TableQCalcMain[Detailed_Ext_Price],TableQCalcMain[[#This Row],[RowNumOfShownItems_Unsplit]]))</f>
        <v/>
      </c>
      <c r="Q38" s="66" t="str">
        <f>IF(TableQCalcMain[[#This Row],[RowNumOfShownItems_Unsplit]]="","",INDEX(TableQCalcMain[Real_Quantity],TableQCalcMain[[#This Row],[RowNumOfShownItems_Unsplit]]))</f>
        <v/>
      </c>
      <c r="R38" s="66" t="str">
        <f>IF(TableQCalcMain[[#This Row],[RowNumOfShownItems_Unsplit]]="","",
IF(IFERROR(
INDEX(TableQCalcMain[Unit_Price],TableQCalcMain[[#This Row],[RowNumOfShownItems_Unsplit]]),0)=0,"",
INDEX(TableQCalcMain[Unit_Price],TableQCalcMain[[#This Row],[RowNumOfShownItems_Unsplit]])
))</f>
        <v/>
      </c>
      <c r="S38" s="66" t="str">
        <f>IF(TableQCalcMain[[#This Row],[RowNumOfShownItems_Unsplit]]="","",
IF(IFERROR(
INDEX(TableQCalcMain[Extended_price],TableQCalcMain[[#This Row],[RowNumOfShownItems_Unsplit]]),0)=0,"",
INDEX(TableQCalcMain[Extended_price],TableQCalcMain[[#This Row],[RowNumOfShownItems_Unsplit]])
))</f>
        <v/>
      </c>
      <c r="T38" t="str">
        <f t="array" ref="T38">IFERROR(MATCH(0,COUNTIF(N$2:$N37,TableQCalcMain[Description])+IF(TableQCalcMain[ShowDesc?]=0,1,0),0),"")</f>
        <v/>
      </c>
      <c r="U38" s="614"/>
      <c r="V38" s="614"/>
      <c r="W38" s="614"/>
      <c r="X38" s="614"/>
      <c r="Y38" s="614"/>
      <c r="Z38" s="614"/>
      <c r="AA38" s="614"/>
      <c r="AB38" s="614"/>
      <c r="AC38" s="614"/>
      <c r="AD38" s="614"/>
      <c r="AE38" s="614"/>
      <c r="AF38" s="614"/>
      <c r="AG38" s="614"/>
      <c r="AH38" s="614"/>
    </row>
    <row r="39" spans="2:34" ht="15.5" customHeight="1" x14ac:dyDescent="0.2">
      <c r="B39" s="717" t="s">
        <v>358</v>
      </c>
      <c r="C39" s="718" t="str">
        <f>IF(AND((QUOTE_Split_SoftwareHardware),N(C31)=0),$C$30,
IF(AND(QUOTE_Split_SoftwareHardware,NOT(RHIZO_ClientWithOrWithoutScanner_ChkBox)),$C$30,"")
)</f>
        <v/>
      </c>
      <c r="D39" s="717">
        <f>IF(AND((QUOTE_Split_SoftwareHardware),AND(NOT(SuperUser),N(D31)=0)),0,D30)</f>
        <v>0</v>
      </c>
      <c r="E39" s="681">
        <v>1</v>
      </c>
      <c r="F39" s="681">
        <v>0</v>
      </c>
      <c r="G39" s="681">
        <f>TableQCalcMain[[#This Row],[ShowDesc?]]*TableQCalcMain[[#This Row],[Software]]</f>
        <v>0</v>
      </c>
      <c r="H39" s="681">
        <f>TableQCalcMain[[#This Row],[ShowDesc?]]*TableQCalcMain[[#This Row],[Hardware]]</f>
        <v>0</v>
      </c>
      <c r="I39" s="717" t="str">
        <f>IF(AND((QUOTE_Split_SoftwareHardware),N(C31)=0),"","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Scanner Calibration, Instructions, Video tutorial, TWAIN driver &amp; Technical support </v>
      </c>
      <c r="J39" s="681" t="str">
        <f>""</f>
        <v/>
      </c>
      <c r="K39" s="690">
        <f>(IF(RHIZO_IndexScanner=1,STD_GenCalib_Drivers_Instr_Techsup,LA_GenCalib_Drivers_Instr_Techsup)
)*(RHIZO_N_System-1)*(1-RebateCalibScanner*Distributeurs_Rabais)</f>
        <v>0</v>
      </c>
      <c r="L39" s="681" t="str">
        <f>IF(QUOTE_Split_SoftwareHardware,TableQCalcMain[[#This Row],[Detailed_Ext_Price]]/TableQCalcMain[[#This Row],[ShowDesc?]],"")</f>
        <v/>
      </c>
      <c r="M39" s="681">
        <f>IF(QUOTE_Split_SoftwareHardware,TableQCalcMain[[#This Row],[Detailed_Ext_Price]],0)</f>
        <v>0</v>
      </c>
      <c r="N39" s="77" t="str">
        <f>IF(TableQCalcMain[[#This Row],[RowNumOfShownItems_Unsplit]]&lt;&gt;"",INDEX(TableQCalcMain[Description],TableQCalcMain[[#This Row],[RowNumOfShownItems_Unsplit]]),"")</f>
        <v/>
      </c>
      <c r="O39" s="66" t="str">
        <f>IF(TableQCalcMain[[#This Row],[RowNumOfShownItems_Unsplit]]&lt;&gt;"",INDEX(TableQCalcMain[Harmonized_Code],TableQCalcMain[[#This Row],[RowNumOfShownItems_Unsplit]]),"")</f>
        <v/>
      </c>
      <c r="P39" s="66" t="str">
        <f>IF(TableQCalcMain[[#This Row],[RowNumOfShownItems_Unsplit]]="","",INDEX(TableQCalcMain[Detailed_Ext_Price],TableQCalcMain[[#This Row],[RowNumOfShownItems_Unsplit]]))</f>
        <v/>
      </c>
      <c r="Q39" s="66" t="str">
        <f>IF(TableQCalcMain[[#This Row],[RowNumOfShownItems_Unsplit]]="","",INDEX(TableQCalcMain[Real_Quantity],TableQCalcMain[[#This Row],[RowNumOfShownItems_Unsplit]]))</f>
        <v/>
      </c>
      <c r="R39" s="66" t="str">
        <f>IF(TableQCalcMain[[#This Row],[RowNumOfShownItems_Unsplit]]="","",
IF(IFERROR(
INDEX(TableQCalcMain[Unit_Price],TableQCalcMain[[#This Row],[RowNumOfShownItems_Unsplit]]),0)=0,"",
INDEX(TableQCalcMain[Unit_Price],TableQCalcMain[[#This Row],[RowNumOfShownItems_Unsplit]])
))</f>
        <v/>
      </c>
      <c r="S39" s="66" t="str">
        <f>IF(TableQCalcMain[[#This Row],[RowNumOfShownItems_Unsplit]]="","",
IF(IFERROR(
INDEX(TableQCalcMain[Extended_price],TableQCalcMain[[#This Row],[RowNumOfShownItems_Unsplit]]),0)=0,"",
INDEX(TableQCalcMain[Extended_price],TableQCalcMain[[#This Row],[RowNumOfShownItems_Unsplit]])
))</f>
        <v/>
      </c>
      <c r="T39" t="str">
        <f t="array" ref="T39">IFERROR(MATCH(0,COUNTIF(N$2:$N38,TableQCalcMain[Description])+IF(TableQCalcMain[ShowDesc?]=0,1,0),0),"")</f>
        <v/>
      </c>
      <c r="U39" s="614"/>
      <c r="V39" s="614"/>
      <c r="W39" s="614"/>
      <c r="X39" s="614"/>
      <c r="Y39" s="614"/>
      <c r="Z39" s="614"/>
      <c r="AA39" s="614"/>
      <c r="AB39" s="614"/>
      <c r="AC39" s="614"/>
      <c r="AD39" s="614"/>
      <c r="AE39" s="614"/>
      <c r="AF39" s="614"/>
      <c r="AG39" s="614"/>
      <c r="AH39" s="614"/>
    </row>
    <row r="40" spans="2:34" ht="15.5" customHeight="1" x14ac:dyDescent="0.2">
      <c r="B40" s="66" t="s">
        <v>353</v>
      </c>
      <c r="C40" s="591"/>
      <c r="D40" s="66"/>
      <c r="E40" s="66"/>
      <c r="F40" s="66"/>
      <c r="G40" s="66"/>
      <c r="H40" s="66"/>
      <c r="I40" s="66"/>
      <c r="J40" s="66" t="str">
        <f>""</f>
        <v/>
      </c>
      <c r="K40" s="66" t="str">
        <f>""</f>
        <v/>
      </c>
      <c r="L40" s="66" t="str">
        <f>""</f>
        <v/>
      </c>
      <c r="M40" s="66" t="str">
        <f>""</f>
        <v/>
      </c>
      <c r="N40" s="77" t="str">
        <f>IF(TableQCalcMain[[#This Row],[RowNumOfShownItems_Unsplit]]&lt;&gt;"",INDEX(TableQCalcMain[Description],TableQCalcMain[[#This Row],[RowNumOfShownItems_Unsplit]]),"")</f>
        <v/>
      </c>
      <c r="O40" s="66" t="str">
        <f>IF(TableQCalcMain[[#This Row],[RowNumOfShownItems_Unsplit]]&lt;&gt;"",INDEX(TableQCalcMain[Harmonized_Code],TableQCalcMain[[#This Row],[RowNumOfShownItems_Unsplit]]),"")</f>
        <v/>
      </c>
      <c r="P40" s="66" t="str">
        <f>IF(TableQCalcMain[[#This Row],[RowNumOfShownItems_Unsplit]]="","",INDEX(TableQCalcMain[Detailed_Ext_Price],TableQCalcMain[[#This Row],[RowNumOfShownItems_Unsplit]]))</f>
        <v/>
      </c>
      <c r="Q40" s="66" t="str">
        <f>IF(TableQCalcMain[[#This Row],[RowNumOfShownItems_Unsplit]]="","",INDEX(TableQCalcMain[Real_Quantity],TableQCalcMain[[#This Row],[RowNumOfShownItems_Unsplit]]))</f>
        <v/>
      </c>
      <c r="R40" s="66" t="str">
        <f>IF(TableQCalcMain[[#This Row],[RowNumOfShownItems_Unsplit]]="","",
IF(IFERROR(
INDEX(TableQCalcMain[Unit_Price],TableQCalcMain[[#This Row],[RowNumOfShownItems_Unsplit]]),0)=0,"",
INDEX(TableQCalcMain[Unit_Price],TableQCalcMain[[#This Row],[RowNumOfShownItems_Unsplit]])
))</f>
        <v/>
      </c>
      <c r="S40" s="66" t="str">
        <f>IF(TableQCalcMain[[#This Row],[RowNumOfShownItems_Unsplit]]="","",
IF(IFERROR(
INDEX(TableQCalcMain[Extended_price],TableQCalcMain[[#This Row],[RowNumOfShownItems_Unsplit]]),0)=0,"",
INDEX(TableQCalcMain[Extended_price],TableQCalcMain[[#This Row],[RowNumOfShownItems_Unsplit]])
))</f>
        <v/>
      </c>
      <c r="T40" t="str">
        <f t="array" ref="T40">IFERROR(MATCH(0,COUNTIF(N$2:$N39,TableQCalcMain[Description])+IF(TableQCalcMain[ShowDesc?]=0,1,0),0),"")</f>
        <v/>
      </c>
      <c r="U40" s="614"/>
      <c r="V40" s="614"/>
      <c r="W40" s="614"/>
      <c r="X40" s="614"/>
      <c r="Y40" s="614"/>
      <c r="Z40" s="614"/>
      <c r="AA40" s="614"/>
      <c r="AB40" s="614"/>
      <c r="AC40" s="614"/>
      <c r="AD40" s="614"/>
      <c r="AE40" s="614"/>
      <c r="AF40" s="614"/>
      <c r="AG40" s="614"/>
      <c r="AH40" s="614"/>
    </row>
    <row r="41" spans="2:34" ht="15.5" customHeight="1" x14ac:dyDescent="0.2">
      <c r="B41" s="607" t="s">
        <v>26</v>
      </c>
      <c r="C41" s="591">
        <f>RHIZO_N_UpgradeUpdate-1</f>
        <v>0</v>
      </c>
      <c r="D41" s="712">
        <f>IFERROR(IF(AND(D32=0,OR(WinRHIZO!#REF!&gt;0,WinRHIZO!#REF!&gt;0)),RHIZO_N_UpgradeUpdate-1,0),0)</f>
        <v>0</v>
      </c>
      <c r="E41" s="66">
        <v>1</v>
      </c>
      <c r="F41" s="66"/>
      <c r="G41" s="66">
        <f>TableQCalcMain[[#This Row],[ShowDesc?]]*TableQCalcMain[[#This Row],[Software]]</f>
        <v>0</v>
      </c>
      <c r="H41" s="66">
        <f>TableQCalcMain[[#This Row],[ShowDesc?]]*TableQCalcMain[[#This Row],[Hardware]]</f>
        <v>0</v>
      </c>
      <c r="I41" s="680" t="e">
        <f>IF(Francais,"Mise à jour de ","Update from ") &amp;
SUBSTITUTE(TRIM(INDEX(RHIZO_SoftwareList,RHIZO_IndexClientVersion))," "," " &amp; RHIZO_YearClient &amp; " ",1) &amp;
IF(Francais," à "," to ") &amp;
SUBSTITUTE(TRIM(INDEX(RHIZO_SoftwareList,RHIZO_IndexSoftware))," "," " &amp; RHIZO_YearMostRecent &amp; " ",1)  &amp; " " &amp; "&amp;" &amp; " XLRhizo"
&amp;
IF(QUOTE_Split_SoftwareHardware,IF(QUOTE_InternetDownload,IF(Francais, ", Téléchargement Internet", ", Internet download"),IF(Francais, ", Envoyé par transporteur", ", Shipped by courier")),IF(Francais," sur media USB (manuels PDF &amp; imprimés)"," on USB drive (PDF &amp; printed manuals)"))</f>
        <v>#REF!</v>
      </c>
      <c r="J41" s="66">
        <f>IF(RHIZO_N_System&gt;1,
"",WinRHIZO!I11)</f>
        <v>852349</v>
      </c>
      <c r="K41" s="66" t="str">
        <f>""</f>
        <v/>
      </c>
      <c r="L41" s="66" t="e">
        <f>ROUND(TableQCalcMain[[#This Row],[Extended_price]]/TableQCalcMain[[#This Row],[Real_Quantity]],2)</f>
        <v>#REF!</v>
      </c>
      <c r="M41" s="66" t="e">
        <f>ROUND(IF(Distributeurs_Rabais,WinRHIZO!#REF!,WinRHIZO!#REF!)
-IF(QUOTE_Split_SoftwareHardware,PrixUSBKey*(RHIZO_N_UpgradeUpdate-1),0),2)</f>
        <v>#REF!</v>
      </c>
      <c r="N41" s="77" t="str">
        <f>IF(TableQCalcMain[[#This Row],[RowNumOfShownItems_Unsplit]]&lt;&gt;"",INDEX(TableQCalcMain[Description],TableQCalcMain[[#This Row],[RowNumOfShownItems_Unsplit]]),"")</f>
        <v/>
      </c>
      <c r="O41" s="66" t="str">
        <f>IF(TableQCalcMain[[#This Row],[RowNumOfShownItems_Unsplit]]&lt;&gt;"",INDEX(TableQCalcMain[Harmonized_Code],TableQCalcMain[[#This Row],[RowNumOfShownItems_Unsplit]]),"")</f>
        <v/>
      </c>
      <c r="P41" s="66" t="str">
        <f>IF(TableQCalcMain[[#This Row],[RowNumOfShownItems_Unsplit]]="","",INDEX(TableQCalcMain[Detailed_Ext_Price],TableQCalcMain[[#This Row],[RowNumOfShownItems_Unsplit]]))</f>
        <v/>
      </c>
      <c r="Q41" s="66" t="str">
        <f>IF(TableQCalcMain[[#This Row],[RowNumOfShownItems_Unsplit]]="","",INDEX(TableQCalcMain[Real_Quantity],TableQCalcMain[[#This Row],[RowNumOfShownItems_Unsplit]]))</f>
        <v/>
      </c>
      <c r="R41" s="66" t="str">
        <f>IF(TableQCalcMain[[#This Row],[RowNumOfShownItems_Unsplit]]="","",
IF(IFERROR(
INDEX(TableQCalcMain[Unit_Price],TableQCalcMain[[#This Row],[RowNumOfShownItems_Unsplit]]),0)=0,"",
INDEX(TableQCalcMain[Unit_Price],TableQCalcMain[[#This Row],[RowNumOfShownItems_Unsplit]])
))</f>
        <v/>
      </c>
      <c r="S41" s="66" t="str">
        <f>IF(TableQCalcMain[[#This Row],[RowNumOfShownItems_Unsplit]]="","",
IF(IFERROR(
INDEX(TableQCalcMain[Extended_price],TableQCalcMain[[#This Row],[RowNumOfShownItems_Unsplit]]),0)=0,"",
INDEX(TableQCalcMain[Extended_price],TableQCalcMain[[#This Row],[RowNumOfShownItems_Unsplit]])
))</f>
        <v/>
      </c>
      <c r="T41" t="str">
        <f t="array" ref="T41">IFERROR(MATCH(0,COUNTIF(N$2:$N40,TableQCalcMain[Description])+IF(TableQCalcMain[ShowDesc?]=0,1,0),0),"")</f>
        <v/>
      </c>
      <c r="U41" s="614"/>
      <c r="V41" s="614"/>
      <c r="W41" s="614"/>
      <c r="X41" s="614"/>
      <c r="Y41" s="614"/>
      <c r="Z41" s="614"/>
      <c r="AA41" s="614"/>
      <c r="AB41" s="614"/>
      <c r="AC41" s="614"/>
      <c r="AD41" s="614"/>
      <c r="AE41" s="614"/>
      <c r="AF41" s="614"/>
      <c r="AG41" s="614"/>
      <c r="AH41" s="614"/>
    </row>
    <row r="42" spans="2:34" ht="15.5" customHeight="1" x14ac:dyDescent="0.2">
      <c r="B42" s="608" t="s">
        <v>342</v>
      </c>
      <c r="C42" s="66" t="str">
        <f>""</f>
        <v/>
      </c>
      <c r="D42" s="66">
        <f>IF(QUOTE_Split_SoftwareHardware,N($C$41),0)</f>
        <v>0</v>
      </c>
      <c r="E42" s="66">
        <v>1</v>
      </c>
      <c r="F42" s="66"/>
      <c r="G42" s="66">
        <f>TableQCalcMain[[#This Row],[ShowDesc?]]*TableQCalcMain[[#This Row],[Software]]</f>
        <v>0</v>
      </c>
      <c r="H42" s="66"/>
      <c r="I42"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",5)</f>
        <v xml:space="preserve">         • Software &amp; Instructions documents (PDF &amp; printed)     </v>
      </c>
      <c r="J42" s="66" t="str">
        <f>""</f>
        <v/>
      </c>
      <c r="K42" s="66" t="str">
        <f>""</f>
        <v/>
      </c>
      <c r="L42" s="66" t="str">
        <f>""</f>
        <v/>
      </c>
      <c r="M42" s="66" t="str">
        <f>""</f>
        <v/>
      </c>
      <c r="N42" s="77" t="str">
        <f>IF(TableQCalcMain[[#This Row],[RowNumOfShownItems_Unsplit]]&lt;&gt;"",INDEX(TableQCalcMain[Description],TableQCalcMain[[#This Row],[RowNumOfShownItems_Unsplit]]),"")</f>
        <v/>
      </c>
      <c r="O42" s="66" t="str">
        <f>IF(TableQCalcMain[[#This Row],[RowNumOfShownItems_Unsplit]]&lt;&gt;"",INDEX(TableQCalcMain[Harmonized_Code],TableQCalcMain[[#This Row],[RowNumOfShownItems_Unsplit]]),"")</f>
        <v/>
      </c>
      <c r="P42" s="66" t="str">
        <f>IF(TableQCalcMain[[#This Row],[RowNumOfShownItems_Unsplit]]="","",INDEX(TableQCalcMain[Detailed_Ext_Price],TableQCalcMain[[#This Row],[RowNumOfShownItems_Unsplit]]))</f>
        <v/>
      </c>
      <c r="Q42" s="66" t="str">
        <f>IF(TableQCalcMain[[#This Row],[RowNumOfShownItems_Unsplit]]="","",INDEX(TableQCalcMain[Real_Quantity],TableQCalcMain[[#This Row],[RowNumOfShownItems_Unsplit]]))</f>
        <v/>
      </c>
      <c r="R42" s="66" t="str">
        <f>IF(TableQCalcMain[[#This Row],[RowNumOfShownItems_Unsplit]]="","",
IF(IFERROR(
INDEX(TableQCalcMain[Unit_Price],TableQCalcMain[[#This Row],[RowNumOfShownItems_Unsplit]]),0)=0,"",
INDEX(TableQCalcMain[Unit_Price],TableQCalcMain[[#This Row],[RowNumOfShownItems_Unsplit]])
))</f>
        <v/>
      </c>
      <c r="S42" s="66" t="str">
        <f>IF(TableQCalcMain[[#This Row],[RowNumOfShownItems_Unsplit]]="","",
IF(IFERROR(
INDEX(TableQCalcMain[Extended_price],TableQCalcMain[[#This Row],[RowNumOfShownItems_Unsplit]]),0)=0,"",
INDEX(TableQCalcMain[Extended_price],TableQCalcMain[[#This Row],[RowNumOfShownItems_Unsplit]])
))</f>
        <v/>
      </c>
      <c r="T42" t="str">
        <f t="array" ref="T42">IFERROR(MATCH(0,COUNTIF(N$2:$N41,TableQCalcMain[Description])+IF(TableQCalcMain[ShowDesc?]=0,1,0),0),"")</f>
        <v/>
      </c>
      <c r="U42" s="614"/>
      <c r="V42" s="614"/>
      <c r="W42" s="614"/>
      <c r="X42" s="614"/>
      <c r="Y42" s="614"/>
      <c r="Z42" s="614"/>
      <c r="AA42" s="614"/>
      <c r="AB42" s="614"/>
      <c r="AC42" s="614"/>
      <c r="AD42" s="614"/>
      <c r="AE42" s="614"/>
      <c r="AF42" s="614"/>
      <c r="AG42" s="614"/>
      <c r="AH42" s="614"/>
    </row>
    <row r="43" spans="2:34" ht="15.5" customHeight="1" x14ac:dyDescent="0.2">
      <c r="B43" s="681" t="str">
        <f>B39&amp;"Upd"</f>
        <v>RHIZO System Calib ManualUpd</v>
      </c>
      <c r="C43" s="681" t="str">
        <f>""</f>
        <v/>
      </c>
      <c r="D43" s="681">
        <f>IF(AND(D30&gt;0,D31=0),D35,0)</f>
        <v>0</v>
      </c>
      <c r="E43" s="681">
        <v>1</v>
      </c>
      <c r="F43" s="681">
        <v>0</v>
      </c>
      <c r="G43" s="681">
        <f>TableQCalcMain[[#This Row],[ShowDesc?]]*TableQCalcMain[[#This Row],[Software]]</f>
        <v>0</v>
      </c>
      <c r="H43" s="681">
        <f>TableQCalcMain[[#This Row],[ShowDesc?]]*TableQCalcMain[[#This Row],[Hardware]]</f>
        <v>0</v>
      </c>
      <c r="I43"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Scanner Calibration, Instructions, Video tutorial, TWAIN driver &amp; Technical support      </v>
      </c>
      <c r="J43" s="681" t="str">
        <f>J39</f>
        <v/>
      </c>
      <c r="K43" s="681">
        <f t="shared" ref="K43:M43" si="0">K39</f>
        <v>0</v>
      </c>
      <c r="L43" s="681" t="str">
        <f>IF(QUOTE_Split_SoftwareHardware,TableQCalcMain[[#This Row],[Detailed_Ext_Price]]/TableQCalcMain[[#This Row],[ShowDesc?]],"")</f>
        <v/>
      </c>
      <c r="M43" s="681">
        <f t="shared" si="0"/>
        <v>0</v>
      </c>
      <c r="N43" s="77" t="str">
        <f>IF(TableQCalcMain[[#This Row],[RowNumOfShownItems_Unsplit]]&lt;&gt;"",INDEX(TableQCalcMain[Description],TableQCalcMain[[#This Row],[RowNumOfShownItems_Unsplit]]),"")</f>
        <v/>
      </c>
      <c r="O43" s="66" t="str">
        <f>IF(TableQCalcMain[[#This Row],[RowNumOfShownItems_Unsplit]]&lt;&gt;"",INDEX(TableQCalcMain[Harmonized_Code],TableQCalcMain[[#This Row],[RowNumOfShownItems_Unsplit]]),"")</f>
        <v/>
      </c>
      <c r="P43" s="66" t="str">
        <f>IF(TableQCalcMain[[#This Row],[RowNumOfShownItems_Unsplit]]="","",INDEX(TableQCalcMain[Detailed_Ext_Price],TableQCalcMain[[#This Row],[RowNumOfShownItems_Unsplit]]))</f>
        <v/>
      </c>
      <c r="Q43" s="66" t="str">
        <f>IF(TableQCalcMain[[#This Row],[RowNumOfShownItems_Unsplit]]="","",INDEX(TableQCalcMain[Real_Quantity],TableQCalcMain[[#This Row],[RowNumOfShownItems_Unsplit]]))</f>
        <v/>
      </c>
      <c r="R43" s="66" t="str">
        <f>IF(TableQCalcMain[[#This Row],[RowNumOfShownItems_Unsplit]]="","",
IF(IFERROR(
INDEX(TableQCalcMain[Unit_Price],TableQCalcMain[[#This Row],[RowNumOfShownItems_Unsplit]]),0)=0,"",
INDEX(TableQCalcMain[Unit_Price],TableQCalcMain[[#This Row],[RowNumOfShownItems_Unsplit]])
))</f>
        <v/>
      </c>
      <c r="S43" s="66" t="str">
        <f>IF(TableQCalcMain[[#This Row],[RowNumOfShownItems_Unsplit]]="","",
IF(IFERROR(
INDEX(TableQCalcMain[Extended_price],TableQCalcMain[[#This Row],[RowNumOfShownItems_Unsplit]]),0)=0,"",
INDEX(TableQCalcMain[Extended_price],TableQCalcMain[[#This Row],[RowNumOfShownItems_Unsplit]])
))</f>
        <v/>
      </c>
      <c r="T43" t="str">
        <f t="array" ref="T43">IFERROR(MATCH(0,COUNTIF(N$2:$N42,TableQCalcMain[Description])+IF(TableQCalcMain[ShowDesc?]=0,1,0),0),"")</f>
        <v/>
      </c>
      <c r="U43" s="614"/>
      <c r="V43" s="614"/>
      <c r="W43" s="614"/>
      <c r="X43" s="614"/>
      <c r="Y43" s="614"/>
      <c r="Z43" s="614"/>
      <c r="AA43" s="614"/>
      <c r="AB43" s="614"/>
      <c r="AC43" s="614"/>
      <c r="AD43" s="614"/>
      <c r="AE43" s="614"/>
      <c r="AF43" s="614"/>
      <c r="AG43" s="614"/>
      <c r="AH43" s="614"/>
    </row>
    <row r="44" spans="2:34" ht="15.5" customHeight="1" x14ac:dyDescent="0.2">
      <c r="B44" s="66" t="s">
        <v>29</v>
      </c>
      <c r="C44" s="66">
        <f>IF(TableQCalcMain[[#This Row],[Unit_Price]]&gt;0,TableQCalcMain[[#This Row],[ShowDesc?]],"")</f>
        <v>0</v>
      </c>
      <c r="D44" s="66">
        <f>IF(TableQCalcMain[[#This Row],[Unit_Price]]&gt;0,RHIZO_Option1-1,0)</f>
        <v>0</v>
      </c>
      <c r="E44" s="66"/>
      <c r="F44" s="66">
        <v>1</v>
      </c>
      <c r="G44" s="66">
        <f>TableQCalcMain[[#This Row],[ShowDesc?]]*TableQCalcMain[[#This Row],[Software]]</f>
        <v>0</v>
      </c>
      <c r="H44" s="66">
        <f>TableQCalcMain[[#This Row],[ShowDesc?]]*TableQCalcMain[[#This Row],[Hardware]]</f>
        <v>0</v>
      </c>
      <c r="I44" s="66" t="str">
        <f>LEFT(WinRHIZO!D24,SEARCH(" cm",WinRHIZO!D24)+2)&amp;TextTrayWarranty</f>
        <v>Set of 2 Small trays                                   15x20, 20x25 cm. Warranty 30 days, must inspect at reception</v>
      </c>
      <c r="J44" s="66">
        <f>WinRHIZO!I22</f>
        <v>847330</v>
      </c>
      <c r="K44" s="66" t="str">
        <f>""</f>
        <v/>
      </c>
      <c r="L44" s="66">
        <f>ROUND(
IF(Distributeurs_Rabais,WinRHIZO!#REF!,WinRHIZO!G24),
2)</f>
        <v>133</v>
      </c>
      <c r="M44" s="591" t="str">
        <f>IFERROR(
IF(TableQCalcMain[[#This Row],[Unit_Price]]*TableQCalcMain[[#This Row],[Real_Quantity]]&gt;0,
TableQCalcMain[[#This Row],[Unit_Price]]*TableQCalcMain[[#This Row],[Real_Quantity]],""),"")</f>
        <v/>
      </c>
      <c r="N44" s="77" t="str">
        <f>IF(TableQCalcMain[[#This Row],[RowNumOfShownItems_Unsplit]]&lt;&gt;"",INDEX(TableQCalcMain[Description],TableQCalcMain[[#This Row],[RowNumOfShownItems_Unsplit]]),"")</f>
        <v/>
      </c>
      <c r="O44" s="66" t="str">
        <f>IF(TableQCalcMain[[#This Row],[RowNumOfShownItems_Unsplit]]&lt;&gt;"",INDEX(TableQCalcMain[Harmonized_Code],TableQCalcMain[[#This Row],[RowNumOfShownItems_Unsplit]]),"")</f>
        <v/>
      </c>
      <c r="P44" s="66" t="str">
        <f>IF(TableQCalcMain[[#This Row],[RowNumOfShownItems_Unsplit]]="","",INDEX(TableQCalcMain[Detailed_Ext_Price],TableQCalcMain[[#This Row],[RowNumOfShownItems_Unsplit]]))</f>
        <v/>
      </c>
      <c r="Q44" s="66" t="str">
        <f>IF(TableQCalcMain[[#This Row],[RowNumOfShownItems_Unsplit]]="","",INDEX(TableQCalcMain[Real_Quantity],TableQCalcMain[[#This Row],[RowNumOfShownItems_Unsplit]]))</f>
        <v/>
      </c>
      <c r="R44" s="66" t="str">
        <f>IF(TableQCalcMain[[#This Row],[RowNumOfShownItems_Unsplit]]="","",
IF(IFERROR(
INDEX(TableQCalcMain[Unit_Price],TableQCalcMain[[#This Row],[RowNumOfShownItems_Unsplit]]),0)=0,"",
INDEX(TableQCalcMain[Unit_Price],TableQCalcMain[[#This Row],[RowNumOfShownItems_Unsplit]])
))</f>
        <v/>
      </c>
      <c r="S44" s="66" t="str">
        <f>IF(TableQCalcMain[[#This Row],[RowNumOfShownItems_Unsplit]]="","",
IF(IFERROR(
INDEX(TableQCalcMain[Extended_price],TableQCalcMain[[#This Row],[RowNumOfShownItems_Unsplit]]),0)=0,"",
INDEX(TableQCalcMain[Extended_price],TableQCalcMain[[#This Row],[RowNumOfShownItems_Unsplit]])
))</f>
        <v/>
      </c>
      <c r="T44" t="str">
        <f t="array" ref="T44">IFERROR(MATCH(0,COUNTIF(N$2:$N43,TableQCalcMain[Description])+IF(TableQCalcMain[ShowDesc?]=0,1,0),0),"")</f>
        <v/>
      </c>
      <c r="U44" s="614"/>
      <c r="V44" s="614"/>
      <c r="W44" s="614"/>
      <c r="X44" s="614"/>
      <c r="Y44" s="614"/>
      <c r="Z44" s="614"/>
      <c r="AA44" s="614"/>
      <c r="AB44" s="614"/>
      <c r="AC44" s="614"/>
      <c r="AD44" s="614"/>
      <c r="AE44" s="614"/>
      <c r="AF44" s="614"/>
      <c r="AG44" s="614"/>
      <c r="AH44" s="614"/>
    </row>
    <row r="45" spans="2:34" ht="15.5" customHeight="1" x14ac:dyDescent="0.2">
      <c r="B45" s="66" t="s">
        <v>30</v>
      </c>
      <c r="C45" s="66">
        <f>IF(TableQCalcMain[[#This Row],[Unit_Price]]&gt;0,TableQCalcMain[[#This Row],[ShowDesc?]],"")</f>
        <v>0</v>
      </c>
      <c r="D45" s="66">
        <f>IF(TableQCalcMain[[#This Row],[Unit_Price]]&gt;0,RHIZO_Option2-1,0)</f>
        <v>0</v>
      </c>
      <c r="E45" s="66"/>
      <c r="F45" s="66">
        <v>1</v>
      </c>
      <c r="G45" s="66">
        <f>TableQCalcMain[[#This Row],[ShowDesc?]]*TableQCalcMain[[#This Row],[Software]]</f>
        <v>0</v>
      </c>
      <c r="H45" s="66">
        <f>TableQCalcMain[[#This Row],[ShowDesc?]]*TableQCalcMain[[#This Row],[Hardware]]</f>
        <v>0</v>
      </c>
      <c r="I45" s="66" t="str">
        <f>LEFT(WinRHIZO!D25,SEARCH(" cm",WinRHIZO!D25)+2)&amp;TextTrayWarranty</f>
        <v>Set of 3 Small trays                                   10x15, 15x20, 20x25 cm. Warranty 30 days, must inspect at reception</v>
      </c>
      <c r="J45" s="66">
        <f t="shared" ref="J45:J54" si="1">$J$44</f>
        <v>847330</v>
      </c>
      <c r="K45" s="66" t="str">
        <f>""</f>
        <v/>
      </c>
      <c r="L45" s="66">
        <f>ROUND(
IF(Distributeurs_Rabais,WinRHIZO!#REF!,WinRHIZO!G25),
2)</f>
        <v>195</v>
      </c>
      <c r="M45" s="591" t="str">
        <f>IFERROR(
IF(TableQCalcMain[[#This Row],[Unit_Price]]*TableQCalcMain[[#This Row],[Real_Quantity]]&gt;0,
TableQCalcMain[[#This Row],[Unit_Price]]*TableQCalcMain[[#This Row],[Real_Quantity]],""),"")</f>
        <v/>
      </c>
      <c r="N45" s="77" t="str">
        <f>IF(TableQCalcMain[[#This Row],[RowNumOfShownItems_Unsplit]]&lt;&gt;"",INDEX(TableQCalcMain[Description],TableQCalcMain[[#This Row],[RowNumOfShownItems_Unsplit]]),"")</f>
        <v/>
      </c>
      <c r="O45" s="66" t="str">
        <f>IF(TableQCalcMain[[#This Row],[RowNumOfShownItems_Unsplit]]&lt;&gt;"",INDEX(TableQCalcMain[Harmonized_Code],TableQCalcMain[[#This Row],[RowNumOfShownItems_Unsplit]]),"")</f>
        <v/>
      </c>
      <c r="P45" s="66" t="str">
        <f>IF(TableQCalcMain[[#This Row],[RowNumOfShownItems_Unsplit]]="","",INDEX(TableQCalcMain[Detailed_Ext_Price],TableQCalcMain[[#This Row],[RowNumOfShownItems_Unsplit]]))</f>
        <v/>
      </c>
      <c r="Q45" s="66" t="str">
        <f>IF(TableQCalcMain[[#This Row],[RowNumOfShownItems_Unsplit]]="","",INDEX(TableQCalcMain[Real_Quantity],TableQCalcMain[[#This Row],[RowNumOfShownItems_Unsplit]]))</f>
        <v/>
      </c>
      <c r="R45" s="66" t="str">
        <f>IF(TableQCalcMain[[#This Row],[RowNumOfShownItems_Unsplit]]="","",
IF(IFERROR(
INDEX(TableQCalcMain[Unit_Price],TableQCalcMain[[#This Row],[RowNumOfShownItems_Unsplit]]),0)=0,"",
INDEX(TableQCalcMain[Unit_Price],TableQCalcMain[[#This Row],[RowNumOfShownItems_Unsplit]])
))</f>
        <v/>
      </c>
      <c r="S45" s="66" t="str">
        <f>IF(TableQCalcMain[[#This Row],[RowNumOfShownItems_Unsplit]]="","",
IF(IFERROR(
INDEX(TableQCalcMain[Extended_price],TableQCalcMain[[#This Row],[RowNumOfShownItems_Unsplit]]),0)=0,"",
INDEX(TableQCalcMain[Extended_price],TableQCalcMain[[#This Row],[RowNumOfShownItems_Unsplit]])
))</f>
        <v/>
      </c>
      <c r="T45" t="str">
        <f t="array" ref="T45">IFERROR(MATCH(0,COUNTIF(N$2:$N44,TableQCalcMain[Description])+IF(TableQCalcMain[ShowDesc?]=0,1,0),0),"")</f>
        <v/>
      </c>
      <c r="U45" s="614"/>
      <c r="V45" s="614"/>
      <c r="W45" s="614"/>
      <c r="X45" s="614"/>
      <c r="Y45" s="614"/>
      <c r="Z45" s="614"/>
      <c r="AA45" s="614"/>
      <c r="AB45" s="614"/>
      <c r="AC45" s="614"/>
      <c r="AD45" s="614"/>
      <c r="AE45" s="614"/>
      <c r="AF45" s="614"/>
      <c r="AG45" s="614"/>
      <c r="AH45" s="614"/>
    </row>
    <row r="46" spans="2:34" ht="15.5" customHeight="1" x14ac:dyDescent="0.2">
      <c r="B46" s="66" t="s">
        <v>31</v>
      </c>
      <c r="C46" s="66">
        <f>IF(TableQCalcMain[[#This Row],[Unit_Price]]&gt;0,TableQCalcMain[[#This Row],[ShowDesc?]],"")</f>
        <v>0</v>
      </c>
      <c r="D46" s="66">
        <f>IF(TableQCalcMain[[#This Row],[Unit_Price]]&gt;0,RHIZO_Option3-1,0)</f>
        <v>0</v>
      </c>
      <c r="E46" s="66"/>
      <c r="F46" s="66">
        <v>1</v>
      </c>
      <c r="G46" s="66">
        <f>TableQCalcMain[[#This Row],[ShowDesc?]]*TableQCalcMain[[#This Row],[Software]]</f>
        <v>0</v>
      </c>
      <c r="H46" s="66">
        <f>TableQCalcMain[[#This Row],[ShowDesc?]]*TableQCalcMain[[#This Row],[Hardware]]</f>
        <v>0</v>
      </c>
      <c r="I46" s="66" t="str">
        <f>LEFT(WinRHIZO!D26,SEARCH(" cm",WinRHIZO!D26)+2)&amp;TextTrayWarranty</f>
        <v>Individual Small tray                                10x15 cm. Warranty 30 days, must inspect at reception</v>
      </c>
      <c r="J46" s="66">
        <f t="shared" si="1"/>
        <v>847330</v>
      </c>
      <c r="K46" s="66" t="str">
        <f>""</f>
        <v/>
      </c>
      <c r="L46" s="66">
        <f>ROUND(
IF(Distributeurs_Rabais,WinRHIZO!#REF!,WinRHIZO!G26),
2)</f>
        <v>61</v>
      </c>
      <c r="M46" s="591" t="str">
        <f>IFERROR(
IF(TableQCalcMain[[#This Row],[Unit_Price]]*TableQCalcMain[[#This Row],[Real_Quantity]]&gt;0,
TableQCalcMain[[#This Row],[Unit_Price]]*TableQCalcMain[[#This Row],[Real_Quantity]],""),"")</f>
        <v/>
      </c>
      <c r="N46" s="77" t="str">
        <f>IF(TableQCalcMain[[#This Row],[RowNumOfShownItems_Unsplit]]&lt;&gt;"",INDEX(TableQCalcMain[Description],TableQCalcMain[[#This Row],[RowNumOfShownItems_Unsplit]]),"")</f>
        <v/>
      </c>
      <c r="O46" s="66" t="str">
        <f>IF(TableQCalcMain[[#This Row],[RowNumOfShownItems_Unsplit]]&lt;&gt;"",INDEX(TableQCalcMain[Harmonized_Code],TableQCalcMain[[#This Row],[RowNumOfShownItems_Unsplit]]),"")</f>
        <v/>
      </c>
      <c r="P46" s="66" t="str">
        <f>IF(TableQCalcMain[[#This Row],[RowNumOfShownItems_Unsplit]]="","",INDEX(TableQCalcMain[Detailed_Ext_Price],TableQCalcMain[[#This Row],[RowNumOfShownItems_Unsplit]]))</f>
        <v/>
      </c>
      <c r="Q46" s="66" t="str">
        <f>IF(TableQCalcMain[[#This Row],[RowNumOfShownItems_Unsplit]]="","",INDEX(TableQCalcMain[Real_Quantity],TableQCalcMain[[#This Row],[RowNumOfShownItems_Unsplit]]))</f>
        <v/>
      </c>
      <c r="R46" s="66" t="str">
        <f>IF(TableQCalcMain[[#This Row],[RowNumOfShownItems_Unsplit]]="","",
IF(IFERROR(
INDEX(TableQCalcMain[Unit_Price],TableQCalcMain[[#This Row],[RowNumOfShownItems_Unsplit]]),0)=0,"",
INDEX(TableQCalcMain[Unit_Price],TableQCalcMain[[#This Row],[RowNumOfShownItems_Unsplit]])
))</f>
        <v/>
      </c>
      <c r="S46" s="66" t="str">
        <f>IF(TableQCalcMain[[#This Row],[RowNumOfShownItems_Unsplit]]="","",
IF(IFERROR(
INDEX(TableQCalcMain[Extended_price],TableQCalcMain[[#This Row],[RowNumOfShownItems_Unsplit]]),0)=0,"",
INDEX(TableQCalcMain[Extended_price],TableQCalcMain[[#This Row],[RowNumOfShownItems_Unsplit]])
))</f>
        <v/>
      </c>
      <c r="T46" t="str">
        <f t="array" ref="T46">IFERROR(MATCH(0,COUNTIF(N$2:$N45,TableQCalcMain[Description])+IF(TableQCalcMain[ShowDesc?]=0,1,0),0),"")</f>
        <v/>
      </c>
      <c r="U46" s="614"/>
      <c r="V46" s="614"/>
      <c r="W46" s="614"/>
      <c r="X46" s="614"/>
      <c r="Y46" s="614"/>
      <c r="Z46" s="614"/>
      <c r="AA46" s="614"/>
      <c r="AB46" s="614"/>
      <c r="AC46" s="614"/>
      <c r="AD46" s="614"/>
      <c r="AE46" s="614"/>
      <c r="AF46" s="614"/>
      <c r="AG46" s="614"/>
      <c r="AH46" s="614"/>
    </row>
    <row r="47" spans="2:34" ht="15.5" customHeight="1" x14ac:dyDescent="0.2">
      <c r="B47" s="66" t="s">
        <v>32</v>
      </c>
      <c r="C47" s="66">
        <f>IF(TableQCalcMain[[#This Row],[Unit_Price]]&gt;0,TableQCalcMain[[#This Row],[ShowDesc?]],"")</f>
        <v>0</v>
      </c>
      <c r="D47" s="66">
        <f>IF(TableQCalcMain[[#This Row],[Unit_Price]]&gt;0,RHIZO_Option4-1,0)</f>
        <v>0</v>
      </c>
      <c r="E47" s="66"/>
      <c r="F47" s="66">
        <v>1</v>
      </c>
      <c r="G47" s="66">
        <f>TableQCalcMain[[#This Row],[ShowDesc?]]*TableQCalcMain[[#This Row],[Software]]</f>
        <v>0</v>
      </c>
      <c r="H47" s="66">
        <f>TableQCalcMain[[#This Row],[ShowDesc?]]*TableQCalcMain[[#This Row],[Hardware]]</f>
        <v>0</v>
      </c>
      <c r="I47" s="66" t="str">
        <f>LEFT(WinRHIZO!D27,SEARCH(" cm",WinRHIZO!D27)+2)&amp;TextTrayWarranty</f>
        <v>Individual Small tray                                15x20 cm. Warranty 30 days, must inspect at reception</v>
      </c>
      <c r="J47" s="66">
        <f t="shared" si="1"/>
        <v>847330</v>
      </c>
      <c r="K47" s="66" t="str">
        <f>""</f>
        <v/>
      </c>
      <c r="L47" s="66">
        <f>ROUND(
IF(Distributeurs_Rabais,WinRHIZO!#REF!,WinRHIZO!G27),
2)</f>
        <v>67</v>
      </c>
      <c r="M47" s="591" t="str">
        <f>IFERROR(
IF(TableQCalcMain[[#This Row],[Unit_Price]]*TableQCalcMain[[#This Row],[Real_Quantity]]&gt;0,
TableQCalcMain[[#This Row],[Unit_Price]]*TableQCalcMain[[#This Row],[Real_Quantity]],""),"")</f>
        <v/>
      </c>
      <c r="N47" s="77" t="str">
        <f>IF(TableQCalcMain[[#This Row],[RowNumOfShownItems_Unsplit]]&lt;&gt;"",INDEX(TableQCalcMain[Description],TableQCalcMain[[#This Row],[RowNumOfShownItems_Unsplit]]),"")</f>
        <v/>
      </c>
      <c r="O47" s="66" t="str">
        <f>IF(TableQCalcMain[[#This Row],[RowNumOfShownItems_Unsplit]]&lt;&gt;"",INDEX(TableQCalcMain[Harmonized_Code],TableQCalcMain[[#This Row],[RowNumOfShownItems_Unsplit]]),"")</f>
        <v/>
      </c>
      <c r="P47" s="66" t="str">
        <f>IF(TableQCalcMain[[#This Row],[RowNumOfShownItems_Unsplit]]="","",INDEX(TableQCalcMain[Detailed_Ext_Price],TableQCalcMain[[#This Row],[RowNumOfShownItems_Unsplit]]))</f>
        <v/>
      </c>
      <c r="Q47" s="66" t="str">
        <f>IF(TableQCalcMain[[#This Row],[RowNumOfShownItems_Unsplit]]="","",INDEX(TableQCalcMain[Real_Quantity],TableQCalcMain[[#This Row],[RowNumOfShownItems_Unsplit]]))</f>
        <v/>
      </c>
      <c r="R47" s="66" t="str">
        <f>IF(TableQCalcMain[[#This Row],[RowNumOfShownItems_Unsplit]]="","",
IF(IFERROR(
INDEX(TableQCalcMain[Unit_Price],TableQCalcMain[[#This Row],[RowNumOfShownItems_Unsplit]]),0)=0,"",
INDEX(TableQCalcMain[Unit_Price],TableQCalcMain[[#This Row],[RowNumOfShownItems_Unsplit]])
))</f>
        <v/>
      </c>
      <c r="S47" s="66" t="str">
        <f>IF(TableQCalcMain[[#This Row],[RowNumOfShownItems_Unsplit]]="","",
IF(IFERROR(
INDEX(TableQCalcMain[Extended_price],TableQCalcMain[[#This Row],[RowNumOfShownItems_Unsplit]]),0)=0,"",
INDEX(TableQCalcMain[Extended_price],TableQCalcMain[[#This Row],[RowNumOfShownItems_Unsplit]])
))</f>
        <v/>
      </c>
      <c r="T47" t="str">
        <f t="array" ref="T47">IFERROR(MATCH(0,COUNTIF(N$2:$N46,TableQCalcMain[Description])+IF(TableQCalcMain[ShowDesc?]=0,1,0),0),"")</f>
        <v/>
      </c>
      <c r="U47" s="614"/>
      <c r="V47" s="614"/>
      <c r="W47" s="614"/>
      <c r="X47" s="614"/>
      <c r="Y47" s="614"/>
      <c r="Z47" s="614"/>
      <c r="AA47" s="614"/>
      <c r="AB47" s="614"/>
      <c r="AC47" s="614"/>
      <c r="AD47" s="614"/>
      <c r="AE47" s="614"/>
      <c r="AF47" s="614"/>
      <c r="AG47" s="614"/>
      <c r="AH47" s="614"/>
    </row>
    <row r="48" spans="2:34" ht="15.5" customHeight="1" x14ac:dyDescent="0.2">
      <c r="B48" s="66" t="s">
        <v>227</v>
      </c>
      <c r="C48" s="66">
        <f>IF(TableQCalcMain[[#This Row],[Unit_Price]]&gt;0,TableQCalcMain[[#This Row],[ShowDesc?]],"")</f>
        <v>0</v>
      </c>
      <c r="D48" s="66">
        <f>IF(TableQCalcMain[[#This Row],[Unit_Price]]&gt;0,RHIZO_Option5-1,0)</f>
        <v>0</v>
      </c>
      <c r="E48" s="66"/>
      <c r="F48" s="66">
        <v>1</v>
      </c>
      <c r="G48" s="66">
        <f>TableQCalcMain[[#This Row],[ShowDesc?]]*TableQCalcMain[[#This Row],[Software]]</f>
        <v>0</v>
      </c>
      <c r="H48" s="66">
        <f>TableQCalcMain[[#This Row],[ShowDesc?]]*TableQCalcMain[[#This Row],[Hardware]]</f>
        <v>0</v>
      </c>
      <c r="I48" s="66" t="str">
        <f>LEFT(WinRHIZO!D28,SEARCH(" cm",WinRHIZO!D28)+2)&amp;TextTrayWarranty</f>
        <v>Individual Small tray                                20x25 cm. Warranty 30 days, must inspect at reception</v>
      </c>
      <c r="J48" s="66">
        <f t="shared" si="1"/>
        <v>847330</v>
      </c>
      <c r="K48" s="66" t="str">
        <f>""</f>
        <v/>
      </c>
      <c r="L48" s="66">
        <f>ROUND(
IF(Distributeurs_Rabais,WinRHIZO!#REF!,WinRHIZO!G28),
2)</f>
        <v>73</v>
      </c>
      <c r="M48" s="591" t="str">
        <f>IFERROR(
IF(TableQCalcMain[[#This Row],[Unit_Price]]*TableQCalcMain[[#This Row],[Real_Quantity]]&gt;0,
TableQCalcMain[[#This Row],[Unit_Price]]*TableQCalcMain[[#This Row],[Real_Quantity]],""),"")</f>
        <v/>
      </c>
      <c r="N48" s="77" t="str">
        <f>IF(TableQCalcMain[[#This Row],[RowNumOfShownItems_Unsplit]]&lt;&gt;"",INDEX(TableQCalcMain[Description],TableQCalcMain[[#This Row],[RowNumOfShownItems_Unsplit]]),"")</f>
        <v/>
      </c>
      <c r="O48" s="66" t="str">
        <f>IF(TableQCalcMain[[#This Row],[RowNumOfShownItems_Unsplit]]&lt;&gt;"",INDEX(TableQCalcMain[Harmonized_Code],TableQCalcMain[[#This Row],[RowNumOfShownItems_Unsplit]]),"")</f>
        <v/>
      </c>
      <c r="P48" s="66" t="str">
        <f>IF(TableQCalcMain[[#This Row],[RowNumOfShownItems_Unsplit]]="","",INDEX(TableQCalcMain[Detailed_Ext_Price],TableQCalcMain[[#This Row],[RowNumOfShownItems_Unsplit]]))</f>
        <v/>
      </c>
      <c r="Q48" s="66" t="str">
        <f>IF(TableQCalcMain[[#This Row],[RowNumOfShownItems_Unsplit]]="","",INDEX(TableQCalcMain[Real_Quantity],TableQCalcMain[[#This Row],[RowNumOfShownItems_Unsplit]]))</f>
        <v/>
      </c>
      <c r="R48" s="66" t="str">
        <f>IF(TableQCalcMain[[#This Row],[RowNumOfShownItems_Unsplit]]="","",
IF(IFERROR(
INDEX(TableQCalcMain[Unit_Price],TableQCalcMain[[#This Row],[RowNumOfShownItems_Unsplit]]),0)=0,"",
INDEX(TableQCalcMain[Unit_Price],TableQCalcMain[[#This Row],[RowNumOfShownItems_Unsplit]])
))</f>
        <v/>
      </c>
      <c r="S48" s="66" t="str">
        <f>IF(TableQCalcMain[[#This Row],[RowNumOfShownItems_Unsplit]]="","",
IF(IFERROR(
INDEX(TableQCalcMain[Extended_price],TableQCalcMain[[#This Row],[RowNumOfShownItems_Unsplit]]),0)=0,"",
INDEX(TableQCalcMain[Extended_price],TableQCalcMain[[#This Row],[RowNumOfShownItems_Unsplit]])
))</f>
        <v/>
      </c>
      <c r="T48" t="str">
        <f t="array" ref="T48">IFERROR(MATCH(0,COUNTIF(N$2:$N47,TableQCalcMain[Description])+IF(TableQCalcMain[ShowDesc?]=0,1,0),0),"")</f>
        <v/>
      </c>
      <c r="U48" s="614"/>
      <c r="V48" s="614"/>
      <c r="W48" s="614"/>
      <c r="X48" s="614"/>
      <c r="Y48" s="614"/>
      <c r="Z48" s="614"/>
      <c r="AA48" s="614"/>
      <c r="AB48" s="614"/>
      <c r="AC48" s="614"/>
      <c r="AD48" s="614"/>
      <c r="AE48" s="614"/>
      <c r="AF48" s="614"/>
      <c r="AG48" s="614"/>
      <c r="AH48" s="614"/>
    </row>
    <row r="49" spans="2:34" ht="15.5" customHeight="1" x14ac:dyDescent="0.2">
      <c r="B49" s="66" t="s">
        <v>230</v>
      </c>
      <c r="C49" s="66">
        <f>IF(TableQCalcMain[[#This Row],[Unit_Price]]&gt;0,TableQCalcMain[[#This Row],[ShowDesc?]],"")</f>
        <v>0</v>
      </c>
      <c r="D49" s="66">
        <f>IF(TableQCalcMain[[#This Row],[Unit_Price]]&gt;0,RHIZO_Option6-1,0)</f>
        <v>0</v>
      </c>
      <c r="E49" s="66"/>
      <c r="F49" s="66">
        <v>1</v>
      </c>
      <c r="G49" s="66">
        <f>TableQCalcMain[[#This Row],[ShowDesc?]]*TableQCalcMain[[#This Row],[Software]]</f>
        <v>0</v>
      </c>
      <c r="H49" s="66">
        <f>TableQCalcMain[[#This Row],[ShowDesc?]]*TableQCalcMain[[#This Row],[Hardware]]</f>
        <v>0</v>
      </c>
      <c r="I49" s="66" t="str">
        <f>LEFT(WinRHIZO!D29,SEARCH(" cm",WinRHIZO!D29)+2)&amp;TextTrayWarranty</f>
        <v>Set of 2 Medium &amp; Large trays              25x35, 30x40 cm. Warranty 30 days, must inspect at reception</v>
      </c>
      <c r="J49" s="66">
        <f t="shared" si="1"/>
        <v>847330</v>
      </c>
      <c r="K49" s="66" t="str">
        <f>""</f>
        <v/>
      </c>
      <c r="L49" s="66">
        <f>ROUND(
IF(Distributeurs_Rabais,WinRHIZO!#REF!,WinRHIZO!G29),
2)</f>
        <v>193</v>
      </c>
      <c r="M49" s="591" t="str">
        <f>IFERROR(
IF(TableQCalcMain[[#This Row],[Unit_Price]]*TableQCalcMain[[#This Row],[Real_Quantity]]&gt;0,
TableQCalcMain[[#This Row],[Unit_Price]]*TableQCalcMain[[#This Row],[Real_Quantity]],""),"")</f>
        <v/>
      </c>
      <c r="N49" s="77" t="str">
        <f>IF(TableQCalcMain[[#This Row],[RowNumOfShownItems_Unsplit]]&lt;&gt;"",INDEX(TableQCalcMain[Description],TableQCalcMain[[#This Row],[RowNumOfShownItems_Unsplit]]),"")</f>
        <v/>
      </c>
      <c r="O49" s="66" t="str">
        <f>IF(TableQCalcMain[[#This Row],[RowNumOfShownItems_Unsplit]]&lt;&gt;"",INDEX(TableQCalcMain[Harmonized_Code],TableQCalcMain[[#This Row],[RowNumOfShownItems_Unsplit]]),"")</f>
        <v/>
      </c>
      <c r="P49" s="66" t="str">
        <f>IF(TableQCalcMain[[#This Row],[RowNumOfShownItems_Unsplit]]="","",INDEX(TableQCalcMain[Detailed_Ext_Price],TableQCalcMain[[#This Row],[RowNumOfShownItems_Unsplit]]))</f>
        <v/>
      </c>
      <c r="Q49" s="66" t="str">
        <f>IF(TableQCalcMain[[#This Row],[RowNumOfShownItems_Unsplit]]="","",INDEX(TableQCalcMain[Real_Quantity],TableQCalcMain[[#This Row],[RowNumOfShownItems_Unsplit]]))</f>
        <v/>
      </c>
      <c r="R49" s="66" t="str">
        <f>IF(TableQCalcMain[[#This Row],[RowNumOfShownItems_Unsplit]]="","",
IF(IFERROR(
INDEX(TableQCalcMain[Unit_Price],TableQCalcMain[[#This Row],[RowNumOfShownItems_Unsplit]]),0)=0,"",
INDEX(TableQCalcMain[Unit_Price],TableQCalcMain[[#This Row],[RowNumOfShownItems_Unsplit]])
))</f>
        <v/>
      </c>
      <c r="S49" s="66" t="str">
        <f>IF(TableQCalcMain[[#This Row],[RowNumOfShownItems_Unsplit]]="","",
IF(IFERROR(
INDEX(TableQCalcMain[Extended_price],TableQCalcMain[[#This Row],[RowNumOfShownItems_Unsplit]]),0)=0,"",
INDEX(TableQCalcMain[Extended_price],TableQCalcMain[[#This Row],[RowNumOfShownItems_Unsplit]])
))</f>
        <v/>
      </c>
      <c r="T49" t="str">
        <f t="array" ref="T49">IFERROR(MATCH(0,COUNTIF(N$2:$N48,TableQCalcMain[Description])+IF(TableQCalcMain[ShowDesc?]=0,1,0),0),"")</f>
        <v/>
      </c>
      <c r="U49" s="614"/>
      <c r="V49" s="614"/>
      <c r="W49" s="614"/>
      <c r="X49" s="614"/>
      <c r="Y49" s="614"/>
      <c r="Z49" s="614"/>
      <c r="AA49" s="614"/>
      <c r="AB49" s="614"/>
      <c r="AC49" s="614"/>
      <c r="AD49" s="614"/>
      <c r="AE49" s="614"/>
      <c r="AF49" s="614"/>
      <c r="AG49" s="614"/>
      <c r="AH49" s="614"/>
    </row>
    <row r="50" spans="2:34" ht="15.5" customHeight="1" x14ac:dyDescent="0.2">
      <c r="B50" s="66" t="s">
        <v>231</v>
      </c>
      <c r="C50" s="66">
        <f>IF(TableQCalcMain[[#This Row],[Unit_Price]]&gt;0,TableQCalcMain[[#This Row],[ShowDesc?]],"")</f>
        <v>0</v>
      </c>
      <c r="D50" s="66">
        <f>IF(TableQCalcMain[[#This Row],[Unit_Price]]&gt;0,RHIZO_Option7-1,0)</f>
        <v>0</v>
      </c>
      <c r="E50" s="66"/>
      <c r="F50" s="66">
        <v>1</v>
      </c>
      <c r="G50" s="66">
        <f>TableQCalcMain[[#This Row],[ShowDesc?]]*TableQCalcMain[[#This Row],[Software]]</f>
        <v>0</v>
      </c>
      <c r="H50" s="66">
        <f>TableQCalcMain[[#This Row],[ShowDesc?]]*TableQCalcMain[[#This Row],[Hardware]]</f>
        <v>0</v>
      </c>
      <c r="I50" s="66" t="str">
        <f>LEFT(WinRHIZO!D30,SEARCH(" cm",WinRHIZO!D30)+2)&amp;TextTrayWarranty</f>
        <v>Set of 3 Medium &amp; Large trays              20x30, 25x35, 30x40 cm. Warranty 30 days, must inspect at reception</v>
      </c>
      <c r="J50" s="66">
        <f t="shared" si="1"/>
        <v>847330</v>
      </c>
      <c r="K50" s="66" t="str">
        <f>""</f>
        <v/>
      </c>
      <c r="L50" s="66">
        <f>ROUND(
IF(Distributeurs_Rabais,WinRHIZO!#REF!,WinRHIZO!G30),
2)</f>
        <v>273</v>
      </c>
      <c r="M50" s="591" t="str">
        <f>IFERROR(
IF(TableQCalcMain[[#This Row],[Unit_Price]]*TableQCalcMain[[#This Row],[Real_Quantity]]&gt;0,
TableQCalcMain[[#This Row],[Unit_Price]]*TableQCalcMain[[#This Row],[Real_Quantity]],""),"")</f>
        <v/>
      </c>
      <c r="N50" s="77" t="str">
        <f>IF(TableQCalcMain[[#This Row],[RowNumOfShownItems_Unsplit]]&lt;&gt;"",INDEX(TableQCalcMain[Description],TableQCalcMain[[#This Row],[RowNumOfShownItems_Unsplit]]),"")</f>
        <v/>
      </c>
      <c r="O50" s="66" t="str">
        <f>IF(TableQCalcMain[[#This Row],[RowNumOfShownItems_Unsplit]]&lt;&gt;"",INDEX(TableQCalcMain[Harmonized_Code],TableQCalcMain[[#This Row],[RowNumOfShownItems_Unsplit]]),"")</f>
        <v/>
      </c>
      <c r="P50" s="66" t="str">
        <f>IF(TableQCalcMain[[#This Row],[RowNumOfShownItems_Unsplit]]="","",INDEX(TableQCalcMain[Detailed_Ext_Price],TableQCalcMain[[#This Row],[RowNumOfShownItems_Unsplit]]))</f>
        <v/>
      </c>
      <c r="Q50" s="66" t="str">
        <f>IF(TableQCalcMain[[#This Row],[RowNumOfShownItems_Unsplit]]="","",INDEX(TableQCalcMain[Real_Quantity],TableQCalcMain[[#This Row],[RowNumOfShownItems_Unsplit]]))</f>
        <v/>
      </c>
      <c r="R50" s="66" t="str">
        <f>IF(TableQCalcMain[[#This Row],[RowNumOfShownItems_Unsplit]]="","",
IF(IFERROR(
INDEX(TableQCalcMain[Unit_Price],TableQCalcMain[[#This Row],[RowNumOfShownItems_Unsplit]]),0)=0,"",
INDEX(TableQCalcMain[Unit_Price],TableQCalcMain[[#This Row],[RowNumOfShownItems_Unsplit]])
))</f>
        <v/>
      </c>
      <c r="S50" s="66" t="str">
        <f>IF(TableQCalcMain[[#This Row],[RowNumOfShownItems_Unsplit]]="","",
IF(IFERROR(
INDEX(TableQCalcMain[Extended_price],TableQCalcMain[[#This Row],[RowNumOfShownItems_Unsplit]]),0)=0,"",
INDEX(TableQCalcMain[Extended_price],TableQCalcMain[[#This Row],[RowNumOfShownItems_Unsplit]])
))</f>
        <v/>
      </c>
      <c r="T50" t="str">
        <f t="array" ref="T50">IFERROR(MATCH(0,COUNTIF(N$2:$N49,TableQCalcMain[Description])+IF(TableQCalcMain[ShowDesc?]=0,1,0),0),"")</f>
        <v/>
      </c>
      <c r="U50" s="614"/>
      <c r="V50" s="614"/>
      <c r="W50" s="614"/>
      <c r="X50" s="614"/>
      <c r="Y50" s="614"/>
      <c r="Z50" s="614"/>
      <c r="AA50" s="614"/>
      <c r="AB50" s="614"/>
      <c r="AC50" s="614"/>
      <c r="AD50" s="614"/>
      <c r="AE50" s="614"/>
      <c r="AF50" s="614"/>
      <c r="AG50" s="614"/>
      <c r="AH50" s="614"/>
    </row>
    <row r="51" spans="2:34" ht="15.5" customHeight="1" x14ac:dyDescent="0.2">
      <c r="B51" s="66" t="s">
        <v>232</v>
      </c>
      <c r="C51" s="66">
        <f>IF(TableQCalcMain[[#This Row],[Unit_Price]]&gt;0,TableQCalcMain[[#This Row],[ShowDesc?]],"")</f>
        <v>0</v>
      </c>
      <c r="D51" s="66">
        <f>IF(TableQCalcMain[[#This Row],[Unit_Price]]&gt;0,RHIZO_Option8-1,0)</f>
        <v>0</v>
      </c>
      <c r="E51" s="66"/>
      <c r="F51" s="66">
        <v>1</v>
      </c>
      <c r="G51" s="66">
        <f>TableQCalcMain[[#This Row],[ShowDesc?]]*TableQCalcMain[[#This Row],[Software]]</f>
        <v>0</v>
      </c>
      <c r="H51" s="66">
        <f>TableQCalcMain[[#This Row],[ShowDesc?]]*TableQCalcMain[[#This Row],[Hardware]]</f>
        <v>0</v>
      </c>
      <c r="I51" s="66" t="str">
        <f>LEFT(WinRHIZO!D31,SEARCH(" cm",WinRHIZO!D31)+2) &amp;TextTrayWarranty</f>
        <v>Set of 5 Small Medium Large trays      10x15, 15x20, 20x30, 25x35, 30x40 cm. Warranty 30 days, must inspect at reception</v>
      </c>
      <c r="J51" s="66">
        <f t="shared" si="1"/>
        <v>847330</v>
      </c>
      <c r="K51" s="66" t="str">
        <f>""</f>
        <v/>
      </c>
      <c r="L51" s="66">
        <f>ROUND(
IF(Distributeurs_Rabais,WinRHIZO!#REF!,WinRHIZO!G31),
2)</f>
        <v>401</v>
      </c>
      <c r="M51" s="591" t="str">
        <f>IFERROR(
IF(TableQCalcMain[[#This Row],[Unit_Price]]*TableQCalcMain[[#This Row],[Real_Quantity]]&gt;0,
TableQCalcMain[[#This Row],[Unit_Price]]*TableQCalcMain[[#This Row],[Real_Quantity]],""),"")</f>
        <v/>
      </c>
      <c r="N51" s="77" t="str">
        <f>IF(TableQCalcMain[[#This Row],[RowNumOfShownItems_Unsplit]]&lt;&gt;"",INDEX(TableQCalcMain[Description],TableQCalcMain[[#This Row],[RowNumOfShownItems_Unsplit]]),"")</f>
        <v/>
      </c>
      <c r="O51" s="66" t="str">
        <f>IF(TableQCalcMain[[#This Row],[RowNumOfShownItems_Unsplit]]&lt;&gt;"",INDEX(TableQCalcMain[Harmonized_Code],TableQCalcMain[[#This Row],[RowNumOfShownItems_Unsplit]]),"")</f>
        <v/>
      </c>
      <c r="P51" s="66" t="str">
        <f>IF(TableQCalcMain[[#This Row],[RowNumOfShownItems_Unsplit]]="","",INDEX(TableQCalcMain[Detailed_Ext_Price],TableQCalcMain[[#This Row],[RowNumOfShownItems_Unsplit]]))</f>
        <v/>
      </c>
      <c r="Q51" s="66" t="str">
        <f>IF(TableQCalcMain[[#This Row],[RowNumOfShownItems_Unsplit]]="","",INDEX(TableQCalcMain[Real_Quantity],TableQCalcMain[[#This Row],[RowNumOfShownItems_Unsplit]]))</f>
        <v/>
      </c>
      <c r="R51" s="66" t="str">
        <f>IF(TableQCalcMain[[#This Row],[RowNumOfShownItems_Unsplit]]="","",
IF(IFERROR(
INDEX(TableQCalcMain[Unit_Price],TableQCalcMain[[#This Row],[RowNumOfShownItems_Unsplit]]),0)=0,"",
INDEX(TableQCalcMain[Unit_Price],TableQCalcMain[[#This Row],[RowNumOfShownItems_Unsplit]])
))</f>
        <v/>
      </c>
      <c r="S51" s="66" t="str">
        <f>IF(TableQCalcMain[[#This Row],[RowNumOfShownItems_Unsplit]]="","",
IF(IFERROR(
INDEX(TableQCalcMain[Extended_price],TableQCalcMain[[#This Row],[RowNumOfShownItems_Unsplit]]),0)=0,"",
INDEX(TableQCalcMain[Extended_price],TableQCalcMain[[#This Row],[RowNumOfShownItems_Unsplit]])
))</f>
        <v/>
      </c>
      <c r="T51" t="str">
        <f t="array" ref="T51">IFERROR(MATCH(0,COUNTIF(N$2:$N50,TableQCalcMain[Description])+IF(TableQCalcMain[ShowDesc?]=0,1,0),0),"")</f>
        <v/>
      </c>
      <c r="U51" s="614"/>
      <c r="V51" s="614"/>
      <c r="W51" s="614"/>
      <c r="X51" s="614"/>
      <c r="Y51" s="614"/>
      <c r="Z51" s="614"/>
      <c r="AA51" s="614"/>
      <c r="AB51" s="614"/>
      <c r="AC51" s="614"/>
      <c r="AD51" s="614"/>
      <c r="AE51" s="614"/>
      <c r="AF51" s="614"/>
      <c r="AG51" s="614"/>
      <c r="AH51" s="614"/>
    </row>
    <row r="52" spans="2:34" ht="17" x14ac:dyDescent="0.2">
      <c r="B52" s="66" t="s">
        <v>233</v>
      </c>
      <c r="C52" s="66">
        <f>IF(TableQCalcMain[[#This Row],[Unit_Price]]&gt;0,TableQCalcMain[[#This Row],[ShowDesc?]],"")</f>
        <v>0</v>
      </c>
      <c r="D52" s="66">
        <f>IF(TableQCalcMain[[#This Row],[Unit_Price]]&gt;0,RHIZO_Option9-1,0)</f>
        <v>0</v>
      </c>
      <c r="E52" s="66"/>
      <c r="F52" s="66">
        <v>1</v>
      </c>
      <c r="G52" s="66">
        <f>TableQCalcMain[[#This Row],[ShowDesc?]]*TableQCalcMain[[#This Row],[Software]]</f>
        <v>0</v>
      </c>
      <c r="H52" s="66">
        <f>TableQCalcMain[[#This Row],[ShowDesc?]]*TableQCalcMain[[#This Row],[Hardware]]</f>
        <v>0</v>
      </c>
      <c r="I52" s="66" t="str">
        <f>LEFT(WinRHIZO!D32,SEARCH(" cm",WinRHIZO!D32)+2)&amp;TextTrayWarranty</f>
        <v>Individual Medium tray                           20x30 cm. Warranty 30 days, must inspect at reception</v>
      </c>
      <c r="J52" s="66">
        <f t="shared" si="1"/>
        <v>847330</v>
      </c>
      <c r="K52" s="66" t="str">
        <f>""</f>
        <v/>
      </c>
      <c r="L52" s="66">
        <f>ROUND(
IF(Distributeurs_Rabais,WinRHIZO!#REF!,WinRHIZO!G32),
2)</f>
        <v>78</v>
      </c>
      <c r="M52" s="591" t="str">
        <f>IFERROR(
IF(TableQCalcMain[[#This Row],[Unit_Price]]*TableQCalcMain[[#This Row],[Real_Quantity]]&gt;0,
TableQCalcMain[[#This Row],[Unit_Price]]*TableQCalcMain[[#This Row],[Real_Quantity]],""),"")</f>
        <v/>
      </c>
      <c r="N52" s="77" t="str">
        <f>IF(TableQCalcMain[[#This Row],[RowNumOfShownItems_Unsplit]]&lt;&gt;"",INDEX(TableQCalcMain[Description],TableQCalcMain[[#This Row],[RowNumOfShownItems_Unsplit]]),"")</f>
        <v/>
      </c>
      <c r="O52" s="66" t="str">
        <f>IF(TableQCalcMain[[#This Row],[RowNumOfShownItems_Unsplit]]&lt;&gt;"",INDEX(TableQCalcMain[Harmonized_Code],TableQCalcMain[[#This Row],[RowNumOfShownItems_Unsplit]]),"")</f>
        <v/>
      </c>
      <c r="P52" s="66" t="str">
        <f>IF(TableQCalcMain[[#This Row],[RowNumOfShownItems_Unsplit]]="","",INDEX(TableQCalcMain[Detailed_Ext_Price],TableQCalcMain[[#This Row],[RowNumOfShownItems_Unsplit]]))</f>
        <v/>
      </c>
      <c r="Q52" s="66" t="str">
        <f>IF(TableQCalcMain[[#This Row],[RowNumOfShownItems_Unsplit]]="","",INDEX(TableQCalcMain[Real_Quantity],TableQCalcMain[[#This Row],[RowNumOfShownItems_Unsplit]]))</f>
        <v/>
      </c>
      <c r="R52" s="66" t="str">
        <f>IF(TableQCalcMain[[#This Row],[RowNumOfShownItems_Unsplit]]="","",
IF(IFERROR(
INDEX(TableQCalcMain[Unit_Price],TableQCalcMain[[#This Row],[RowNumOfShownItems_Unsplit]]),0)=0,"",
INDEX(TableQCalcMain[Unit_Price],TableQCalcMain[[#This Row],[RowNumOfShownItems_Unsplit]])
))</f>
        <v/>
      </c>
      <c r="S52" s="66" t="str">
        <f>IF(TableQCalcMain[[#This Row],[RowNumOfShownItems_Unsplit]]="","",
IF(IFERROR(
INDEX(TableQCalcMain[Extended_price],TableQCalcMain[[#This Row],[RowNumOfShownItems_Unsplit]]),0)=0,"",
INDEX(TableQCalcMain[Extended_price],TableQCalcMain[[#This Row],[RowNumOfShownItems_Unsplit]])
))</f>
        <v/>
      </c>
      <c r="T52" t="str">
        <f t="array" ref="T52">IFERROR(MATCH(0,COUNTIF(N$2:$N51,TableQCalcMain[Description])+IF(TableQCalcMain[ShowDesc?]=0,1,0),0),"")</f>
        <v/>
      </c>
      <c r="U52" s="614"/>
      <c r="V52" s="614"/>
      <c r="W52" s="614"/>
      <c r="X52" s="614"/>
      <c r="Y52" s="614"/>
      <c r="Z52" s="614"/>
      <c r="AA52" s="614"/>
      <c r="AB52" s="614"/>
      <c r="AC52" s="614"/>
      <c r="AD52" s="614"/>
      <c r="AE52" s="614"/>
      <c r="AF52" s="614"/>
      <c r="AG52" s="614"/>
      <c r="AH52" s="614"/>
    </row>
    <row r="53" spans="2:34" ht="17" x14ac:dyDescent="0.2">
      <c r="B53" s="66" t="s">
        <v>234</v>
      </c>
      <c r="C53" s="66">
        <f>IF(TableQCalcMain[[#This Row],[Unit_Price]]&gt;0,TableQCalcMain[[#This Row],[ShowDesc?]],"")</f>
        <v>0</v>
      </c>
      <c r="D53" s="66">
        <f>IF(TableQCalcMain[[#This Row],[Unit_Price]]&gt;0,RHIZO_Option10-1,0)</f>
        <v>0</v>
      </c>
      <c r="E53" s="66"/>
      <c r="F53" s="66">
        <v>1</v>
      </c>
      <c r="G53" s="66">
        <f>TableQCalcMain[[#This Row],[ShowDesc?]]*TableQCalcMain[[#This Row],[Software]]</f>
        <v>0</v>
      </c>
      <c r="H53" s="66">
        <f>TableQCalcMain[[#This Row],[ShowDesc?]]*TableQCalcMain[[#This Row],[Hardware]]</f>
        <v>0</v>
      </c>
      <c r="I53" s="66" t="str">
        <f>LEFT(WinRHIZO!D33,SEARCH(" cm",WinRHIZO!D33)+2)&amp;TextTrayWarranty</f>
        <v>Individual Medium tray                           25x35 cm. Warranty 30 days, must inspect at reception</v>
      </c>
      <c r="J53" s="66">
        <f t="shared" si="1"/>
        <v>847330</v>
      </c>
      <c r="K53" s="66" t="str">
        <f>""</f>
        <v/>
      </c>
      <c r="L53" s="66">
        <f>ROUND(
IF(Distributeurs_Rabais,WinRHIZO!#REF!,WinRHIZO!G33),
2)</f>
        <v>84</v>
      </c>
      <c r="M53" s="591" t="str">
        <f>IFERROR(
IF(TableQCalcMain[[#This Row],[Unit_Price]]*TableQCalcMain[[#This Row],[Real_Quantity]]&gt;0,
TableQCalcMain[[#This Row],[Unit_Price]]*TableQCalcMain[[#This Row],[Real_Quantity]],""),"")</f>
        <v/>
      </c>
      <c r="N53" s="77" t="str">
        <f>IF(TableQCalcMain[[#This Row],[RowNumOfShownItems_Unsplit]]&lt;&gt;"",INDEX(TableQCalcMain[Description],TableQCalcMain[[#This Row],[RowNumOfShownItems_Unsplit]]),"")</f>
        <v/>
      </c>
      <c r="O53" s="66" t="str">
        <f>IF(TableQCalcMain[[#This Row],[RowNumOfShownItems_Unsplit]]&lt;&gt;"",INDEX(TableQCalcMain[Harmonized_Code],TableQCalcMain[[#This Row],[RowNumOfShownItems_Unsplit]]),"")</f>
        <v/>
      </c>
      <c r="P53" s="66" t="str">
        <f>IF(TableQCalcMain[[#This Row],[RowNumOfShownItems_Unsplit]]="","",INDEX(TableQCalcMain[Detailed_Ext_Price],TableQCalcMain[[#This Row],[RowNumOfShownItems_Unsplit]]))</f>
        <v/>
      </c>
      <c r="Q53" s="66" t="str">
        <f>IF(TableQCalcMain[[#This Row],[RowNumOfShownItems_Unsplit]]="","",INDEX(TableQCalcMain[Real_Quantity],TableQCalcMain[[#This Row],[RowNumOfShownItems_Unsplit]]))</f>
        <v/>
      </c>
      <c r="R53" s="66" t="str">
        <f>IF(TableQCalcMain[[#This Row],[RowNumOfShownItems_Unsplit]]="","",
IF(IFERROR(
INDEX(TableQCalcMain[Unit_Price],TableQCalcMain[[#This Row],[RowNumOfShownItems_Unsplit]]),0)=0,"",
INDEX(TableQCalcMain[Unit_Price],TableQCalcMain[[#This Row],[RowNumOfShownItems_Unsplit]])
))</f>
        <v/>
      </c>
      <c r="S53" s="66" t="str">
        <f>IF(TableQCalcMain[[#This Row],[RowNumOfShownItems_Unsplit]]="","",
IF(IFERROR(
INDEX(TableQCalcMain[Extended_price],TableQCalcMain[[#This Row],[RowNumOfShownItems_Unsplit]]),0)=0,"",
INDEX(TableQCalcMain[Extended_price],TableQCalcMain[[#This Row],[RowNumOfShownItems_Unsplit]])
))</f>
        <v/>
      </c>
      <c r="T53" t="str">
        <f t="array" ref="T53">IFERROR(MATCH(0,COUNTIF(N$2:$N52,TableQCalcMain[Description])+IF(TableQCalcMain[ShowDesc?]=0,1,0),0),"")</f>
        <v/>
      </c>
      <c r="U53" s="614"/>
      <c r="V53" s="614"/>
      <c r="W53" s="614"/>
      <c r="X53" s="614"/>
      <c r="Y53" s="614"/>
      <c r="Z53" s="614"/>
      <c r="AA53" s="614"/>
      <c r="AB53" s="614"/>
      <c r="AC53" s="614"/>
      <c r="AD53" s="614"/>
      <c r="AE53" s="614"/>
      <c r="AF53" s="614"/>
      <c r="AG53" s="614"/>
      <c r="AH53" s="614"/>
    </row>
    <row r="54" spans="2:34" ht="17" x14ac:dyDescent="0.2">
      <c r="B54" s="66" t="s">
        <v>235</v>
      </c>
      <c r="C54" s="66">
        <f>IF(TableQCalcMain[[#This Row],[Unit_Price]]&gt;0,TableQCalcMain[[#This Row],[ShowDesc?]],"")</f>
        <v>0</v>
      </c>
      <c r="D54" s="66">
        <f>IF(TableQCalcMain[[#This Row],[Unit_Price]]&gt;0,RHIZO_Option11-1,0)</f>
        <v>0</v>
      </c>
      <c r="E54" s="66"/>
      <c r="F54" s="66">
        <v>1</v>
      </c>
      <c r="G54" s="66">
        <f>TableQCalcMain[[#This Row],[ShowDesc?]]*TableQCalcMain[[#This Row],[Software]]</f>
        <v>0</v>
      </c>
      <c r="H54" s="66">
        <f>TableQCalcMain[[#This Row],[ShowDesc?]]*TableQCalcMain[[#This Row],[Hardware]]</f>
        <v>0</v>
      </c>
      <c r="I54" s="66" t="str">
        <f>LEFT(WinRHIZO!D34,SEARCH(" cm",WinRHIZO!D34)+2)&amp;TextTrayWarranty</f>
        <v>Individual Large tray                                 30x40 cm. Warranty 30 days, must inspect at reception</v>
      </c>
      <c r="J54" s="66">
        <f t="shared" si="1"/>
        <v>847330</v>
      </c>
      <c r="K54" s="66" t="str">
        <f>""</f>
        <v/>
      </c>
      <c r="L54" s="66">
        <f>ROUND(
IF(Distributeurs_Rabais,WinRHIZO!#REF!,WinRHIZO!G34),
2)</f>
        <v>106</v>
      </c>
      <c r="M54" s="591" t="str">
        <f>IFERROR(
IF(TableQCalcMain[[#This Row],[Unit_Price]]*TableQCalcMain[[#This Row],[Real_Quantity]]&gt;0,
TableQCalcMain[[#This Row],[Unit_Price]]*TableQCalcMain[[#This Row],[Real_Quantity]],""),"")</f>
        <v/>
      </c>
      <c r="N54" s="77" t="str">
        <f>IF(TableQCalcMain[[#This Row],[RowNumOfShownItems_Unsplit]]&lt;&gt;"",INDEX(TableQCalcMain[Description],TableQCalcMain[[#This Row],[RowNumOfShownItems_Unsplit]]),"")</f>
        <v/>
      </c>
      <c r="O54" s="66" t="str">
        <f>IF(TableQCalcMain[[#This Row],[RowNumOfShownItems_Unsplit]]&lt;&gt;"",INDEX(TableQCalcMain[Harmonized_Code],TableQCalcMain[[#This Row],[RowNumOfShownItems_Unsplit]]),"")</f>
        <v/>
      </c>
      <c r="P54" s="66" t="str">
        <f>IF(TableQCalcMain[[#This Row],[RowNumOfShownItems_Unsplit]]="","",INDEX(TableQCalcMain[Detailed_Ext_Price],TableQCalcMain[[#This Row],[RowNumOfShownItems_Unsplit]]))</f>
        <v/>
      </c>
      <c r="Q54" s="66" t="str">
        <f>IF(TableQCalcMain[[#This Row],[RowNumOfShownItems_Unsplit]]="","",INDEX(TableQCalcMain[Real_Quantity],TableQCalcMain[[#This Row],[RowNumOfShownItems_Unsplit]]))</f>
        <v/>
      </c>
      <c r="R54" s="66" t="str">
        <f>IF(TableQCalcMain[[#This Row],[RowNumOfShownItems_Unsplit]]="","",
IF(IFERROR(
INDEX(TableQCalcMain[Unit_Price],TableQCalcMain[[#This Row],[RowNumOfShownItems_Unsplit]]),0)=0,"",
INDEX(TableQCalcMain[Unit_Price],TableQCalcMain[[#This Row],[RowNumOfShownItems_Unsplit]])
))</f>
        <v/>
      </c>
      <c r="S54" s="66" t="str">
        <f>IF(TableQCalcMain[[#This Row],[RowNumOfShownItems_Unsplit]]="","",
IF(IFERROR(
INDEX(TableQCalcMain[Extended_price],TableQCalcMain[[#This Row],[RowNumOfShownItems_Unsplit]]),0)=0,"",
INDEX(TableQCalcMain[Extended_price],TableQCalcMain[[#This Row],[RowNumOfShownItems_Unsplit]])
))</f>
        <v/>
      </c>
      <c r="T54" t="str">
        <f t="array" ref="T54">IFERROR(MATCH(0,COUNTIF(N$2:$N53,TableQCalcMain[Description])+IF(TableQCalcMain[ShowDesc?]=0,1,0),0),"")</f>
        <v/>
      </c>
      <c r="U54" s="614"/>
      <c r="V54" s="614"/>
      <c r="W54" s="614"/>
      <c r="X54" s="614"/>
      <c r="Y54" s="614"/>
      <c r="Z54" s="614"/>
      <c r="AA54" s="614"/>
      <c r="AB54" s="614"/>
      <c r="AC54" s="614"/>
      <c r="AD54" s="614"/>
      <c r="AE54" s="614"/>
      <c r="AF54" s="614"/>
      <c r="AG54" s="614"/>
      <c r="AH54" s="614"/>
    </row>
    <row r="55" spans="2:34" x14ac:dyDescent="0.2">
      <c r="B55" s="66" t="s">
        <v>236</v>
      </c>
      <c r="C55" s="66"/>
      <c r="D55" s="66">
        <v>0</v>
      </c>
      <c r="E55" s="66"/>
      <c r="F55" s="66"/>
      <c r="G55" s="66">
        <f>TableQCalcMain[[#This Row],[ShowDesc?]]*TableQCalcMain[[#This Row],[Software]]</f>
        <v>0</v>
      </c>
      <c r="H55" s="66">
        <f>TableQCalcMain[[#This Row],[ShowDesc?]]*TableQCalcMain[[#This Row],[Hardware]]</f>
        <v>0</v>
      </c>
      <c r="I55" s="66" t="s">
        <v>250</v>
      </c>
      <c r="J55" s="66" t="str">
        <f>""</f>
        <v/>
      </c>
      <c r="K55" s="66" t="str">
        <f>""</f>
        <v/>
      </c>
      <c r="L55" s="66" t="str">
        <f>""</f>
        <v/>
      </c>
      <c r="M55" s="66" t="str">
        <f>""</f>
        <v/>
      </c>
      <c r="N55" s="77" t="str">
        <f>IF(TableQCalcMain[[#This Row],[RowNumOfShownItems_Unsplit]]&lt;&gt;"",INDEX(TableQCalcMain[Description],TableQCalcMain[[#This Row],[RowNumOfShownItems_Unsplit]]),"")</f>
        <v/>
      </c>
      <c r="O55" s="66" t="str">
        <f>IF(TableQCalcMain[[#This Row],[RowNumOfShownItems_Unsplit]]&lt;&gt;"",INDEX(TableQCalcMain[Harmonized_Code],TableQCalcMain[[#This Row],[RowNumOfShownItems_Unsplit]]),"")</f>
        <v/>
      </c>
      <c r="P55" s="66" t="str">
        <f>IF(TableQCalcMain[[#This Row],[RowNumOfShownItems_Unsplit]]="","",INDEX(TableQCalcMain[Detailed_Ext_Price],TableQCalcMain[[#This Row],[RowNumOfShownItems_Unsplit]]))</f>
        <v/>
      </c>
      <c r="Q55" s="66" t="str">
        <f>IF(TableQCalcMain[[#This Row],[RowNumOfShownItems_Unsplit]]="","",INDEX(TableQCalcMain[Real_Quantity],TableQCalcMain[[#This Row],[RowNumOfShownItems_Unsplit]]))</f>
        <v/>
      </c>
      <c r="R55" s="66" t="str">
        <f>IF(TableQCalcMain[[#This Row],[RowNumOfShownItems_Unsplit]]="","",
IF(IFERROR(
INDEX(TableQCalcMain[Unit_Price],TableQCalcMain[[#This Row],[RowNumOfShownItems_Unsplit]]),0)=0,"",
INDEX(TableQCalcMain[Unit_Price],TableQCalcMain[[#This Row],[RowNumOfShownItems_Unsplit]])
))</f>
        <v/>
      </c>
      <c r="S55" s="66" t="str">
        <f>IF(TableQCalcMain[[#This Row],[RowNumOfShownItems_Unsplit]]="","",
IF(IFERROR(
INDEX(TableQCalcMain[Extended_price],TableQCalcMain[[#This Row],[RowNumOfShownItems_Unsplit]]),0)=0,"",
INDEX(TableQCalcMain[Extended_price],TableQCalcMain[[#This Row],[RowNumOfShownItems_Unsplit]])
))</f>
        <v/>
      </c>
      <c r="T55" t="str">
        <f t="array" ref="T55">IFERROR(MATCH(0,COUNTIF(N$2:$N54,TableQCalcMain[Description])+IF(TableQCalcMain[ShowDesc?]=0,1,0),0),"")</f>
        <v/>
      </c>
      <c r="U55" s="614"/>
      <c r="V55" s="614"/>
      <c r="W55" s="614"/>
      <c r="X55" s="614"/>
      <c r="Y55" s="614"/>
      <c r="Z55" s="614"/>
      <c r="AA55" s="614"/>
      <c r="AB55" s="614"/>
      <c r="AC55" s="614"/>
      <c r="AD55" s="614"/>
      <c r="AE55" s="614"/>
      <c r="AF55" s="614"/>
      <c r="AG55" s="614"/>
      <c r="AH55" s="614"/>
    </row>
    <row r="56" spans="2:34" x14ac:dyDescent="0.2">
      <c r="B56" s="679" t="s">
        <v>112</v>
      </c>
      <c r="C56" s="679" t="str">
        <f>""</f>
        <v/>
      </c>
      <c r="D56" s="679" t="e">
        <f>SUM(D30:D55)</f>
        <v>#REF!</v>
      </c>
      <c r="E56" s="679">
        <v>1</v>
      </c>
      <c r="F56" s="679">
        <v>1</v>
      </c>
      <c r="G56" s="679">
        <f>SUM(G30:G55)</f>
        <v>0</v>
      </c>
      <c r="H56" s="679">
        <f>SUM(H30:H55)</f>
        <v>0</v>
      </c>
      <c r="I56" s="679" t="str">
        <f>REPT(" ",2)</f>
        <v xml:space="preserve">  </v>
      </c>
      <c r="J56" s="679" t="str">
        <f>""</f>
        <v/>
      </c>
      <c r="K56" s="679" t="str">
        <f>""</f>
        <v/>
      </c>
      <c r="L56" s="679" t="str">
        <f>""</f>
        <v/>
      </c>
      <c r="M56" s="679" t="str">
        <f>""</f>
        <v/>
      </c>
      <c r="N56" s="77" t="str">
        <f>IF(TableQCalcMain[[#This Row],[RowNumOfShownItems_Unsplit]]&lt;&gt;"",INDEX(TableQCalcMain[Description],TableQCalcMain[[#This Row],[RowNumOfShownItems_Unsplit]]),"")</f>
        <v/>
      </c>
      <c r="O56" s="66" t="str">
        <f>IF(TableQCalcMain[[#This Row],[RowNumOfShownItems_Unsplit]]&lt;&gt;"",INDEX(TableQCalcMain[Harmonized_Code],TableQCalcMain[[#This Row],[RowNumOfShownItems_Unsplit]]),"")</f>
        <v/>
      </c>
      <c r="P56" s="66" t="str">
        <f>IF(TableQCalcMain[[#This Row],[RowNumOfShownItems_Unsplit]]="","",INDEX(TableQCalcMain[Detailed_Ext_Price],TableQCalcMain[[#This Row],[RowNumOfShownItems_Unsplit]]))</f>
        <v/>
      </c>
      <c r="Q56" s="66" t="str">
        <f>IF(TableQCalcMain[[#This Row],[RowNumOfShownItems_Unsplit]]="","",INDEX(TableQCalcMain[Real_Quantity],TableQCalcMain[[#This Row],[RowNumOfShownItems_Unsplit]]))</f>
        <v/>
      </c>
      <c r="R56" s="66" t="str">
        <f>IF(TableQCalcMain[[#This Row],[RowNumOfShownItems_Unsplit]]="","",
IF(IFERROR(
INDEX(TableQCalcMain[Unit_Price],TableQCalcMain[[#This Row],[RowNumOfShownItems_Unsplit]]),0)=0,"",
INDEX(TableQCalcMain[Unit_Price],TableQCalcMain[[#This Row],[RowNumOfShownItems_Unsplit]])
))</f>
        <v/>
      </c>
      <c r="S56" s="66" t="str">
        <f>IF(TableQCalcMain[[#This Row],[RowNumOfShownItems_Unsplit]]="","",
IF(IFERROR(
INDEX(TableQCalcMain[Extended_price],TableQCalcMain[[#This Row],[RowNumOfShownItems_Unsplit]]),0)=0,"",
INDEX(TableQCalcMain[Extended_price],TableQCalcMain[[#This Row],[RowNumOfShownItems_Unsplit]])
))</f>
        <v/>
      </c>
      <c r="T56" t="str">
        <f t="array" ref="T56">IFERROR(MATCH(0,COUNTIF(N$2:$N55,TableQCalcMain[Description])+IF(TableQCalcMain[ShowDesc?]=0,1,0),0),"")</f>
        <v/>
      </c>
      <c r="U56" s="614"/>
      <c r="V56" s="614"/>
      <c r="W56" s="614"/>
      <c r="X56" s="614"/>
      <c r="Y56" s="614"/>
      <c r="Z56" s="614"/>
      <c r="AA56" s="614"/>
      <c r="AB56" s="614"/>
      <c r="AC56" s="614"/>
      <c r="AD56" s="614"/>
      <c r="AE56" s="614"/>
      <c r="AF56" s="614"/>
      <c r="AG56" s="614"/>
      <c r="AH56" s="614"/>
    </row>
    <row r="57" spans="2:34" x14ac:dyDescent="0.2">
      <c r="B57" s="66" t="s">
        <v>348</v>
      </c>
      <c r="C57" s="682">
        <f>RHIZOTRON_N_Software-1</f>
        <v>0</v>
      </c>
      <c r="D57" s="66">
        <f>TableQCalcMain[[#This Row],[Real_Quantity]]</f>
        <v>0</v>
      </c>
      <c r="E57" s="66">
        <v>1</v>
      </c>
      <c r="F57" s="66"/>
      <c r="G57" s="66">
        <f>N(TableQCalcMain[[#This Row],[ShowDesc?]])*TableQCalcMain[[#This Row],[Software]]</f>
        <v>0</v>
      </c>
      <c r="H57" s="66">
        <f>N(TableQCalcMain[[#This Row],[ShowDesc?]])*TableQCalcMain[[#This Row],[Hardware]]</f>
        <v>0</v>
      </c>
      <c r="I57" s="66" t="str">
        <f>LEFT(INDEX(RHIZOTRON_SoftwareFullNames,RHIZOTRON_IndexSoftware),FIND(" ",INDEX(RHIZOTRON_SoftwareFullNames,RHIZOTRON_IndexSoftware),FIND(" ",INDEX(RHIZOTRON_SoftwareFullNames,RHIZOTRON_IndexSoftware))+7))&amp;
RHIZOTRON_YearMostRecent &amp; " " &amp; "&amp;" &amp; " XLRhizo Tron"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IF(AND(QUOTE_SameClient=TRUE,RHIZOTRON_N_Software+RHIZOTRON_N_AlreadyHaveSoftware&gt;3),IF(Francais," (incl. rabais multi licenses"," (incl. multi licenses discount")&amp;
" "&amp;TEXT(ROUND((INDEX(RHIZOTRON_SoftwarePriceList,RHIZOTRON_IndexSoftware))*((RHIZOTRON_N_Software-1)-IF(RHIZOTRON_N_Software-1=0,0,SUM(MMULT(
  _xlfn.MUNIT(
   RHIZOTRON_N_Software-1),
    INDEX(TableLists[Column10],RHIZOTRON_N_AlreadyHaveSoftware-1+2):
    INDEX(TableLists[Column10],(RHIZOTRON_N_AlreadyHaveSoftware-1+1)+(RHIZOTRON_N_Software-1))
))))*(1-RebateSoftware*Distributeurs_Rabais),0),"0.00")&amp;")","")</f>
        <v>WinRHIZO Tron™ Reg 2025 &amp; XLRhizo Tron Software on USB drive (PDF &amp; printed manuals)</v>
      </c>
      <c r="J57" s="66">
        <f>WinRHIZOTron!I11</f>
        <v>852349</v>
      </c>
      <c r="K57" s="66">
        <f>TableQCalcMain[[#This Row],[Extended_price]]</f>
        <v>0</v>
      </c>
      <c r="L57" s="66" t="str">
        <f>IF(OR(TableQCalcMain[[#This Row],[Real_Quantity]]=0,TableQCalcMain[[#This Row],[Extended_price]]=0),"",ROUND(TableQCalcMain[[#This Row],[Extended_price]]/TableQCalcMain[[#This Row],[Real_Quantity]],2))</f>
        <v/>
      </c>
      <c r="M57" s="66">
        <f>ROUND(
(INDEX(RHIZOTRON_SoftwarePriceList,RHIZOTRON_IndexSoftware))*
IF(RHIZOTRON_N_Software-1=0,0,SUM(MMULT(
  _xlfn.MUNIT(
   RHIZOTRON_N_Software-1),
    INDEX(TableLists[Column10],RHIZOTRON_N_AlreadyHaveSoftware-1+2):
    INDEX(TableLists[Column10],(RHIZOTRON_N_AlreadyHaveSoftware-1+1)+(RHIZOTRON_N_Software-1))
))
)*((1-RebateSoftware*Distributeurs_Rabais)),0)
-IF(QUOTE_Split_SoftwareHardware,PrixUSBKey*(RHIZOTRON_N_Software-1),0)</f>
        <v>0</v>
      </c>
      <c r="N57" s="77" t="str">
        <f>IF(TableQCalcMain[[#This Row],[RowNumOfShownItems_Unsplit]]&lt;&gt;"",INDEX(TableQCalcMain[Description],TableQCalcMain[[#This Row],[RowNumOfShownItems_Unsplit]]),"")</f>
        <v/>
      </c>
      <c r="O57" s="66" t="str">
        <f>IF(TableQCalcMain[[#This Row],[RowNumOfShownItems_Unsplit]]&lt;&gt;"",INDEX(TableQCalcMain[Harmonized_Code],TableQCalcMain[[#This Row],[RowNumOfShownItems_Unsplit]]),"")</f>
        <v/>
      </c>
      <c r="P57" s="66" t="str">
        <f>IF(TableQCalcMain[[#This Row],[RowNumOfShownItems_Unsplit]]="","",INDEX(TableQCalcMain[Detailed_Ext_Price],TableQCalcMain[[#This Row],[RowNumOfShownItems_Unsplit]]))</f>
        <v/>
      </c>
      <c r="Q57" s="66" t="str">
        <f>IF(TableQCalcMain[[#This Row],[RowNumOfShownItems_Unsplit]]="","",INDEX(TableQCalcMain[Real_Quantity],TableQCalcMain[[#This Row],[RowNumOfShownItems_Unsplit]]))</f>
        <v/>
      </c>
      <c r="R57" s="66" t="str">
        <f>IF(TableQCalcMain[[#This Row],[RowNumOfShownItems_Unsplit]]="","",
IF(IFERROR(
INDEX(TableQCalcMain[Unit_Price],TableQCalcMain[[#This Row],[RowNumOfShownItems_Unsplit]]),0)=0,"",
INDEX(TableQCalcMain[Unit_Price],TableQCalcMain[[#This Row],[RowNumOfShownItems_Unsplit]])
))</f>
        <v/>
      </c>
      <c r="S57" s="66" t="str">
        <f>IF(TableQCalcMain[[#This Row],[RowNumOfShownItems_Unsplit]]="","",
IF(IFERROR(
INDEX(TableQCalcMain[Extended_price],TableQCalcMain[[#This Row],[RowNumOfShownItems_Unsplit]]),0)=0,"",
INDEX(TableQCalcMain[Extended_price],TableQCalcMain[[#This Row],[RowNumOfShownItems_Unsplit]])
))</f>
        <v/>
      </c>
      <c r="T57" t="str">
        <f t="array" ref="T57">IFERROR(MATCH(0,COUNTIF(N$2:$N56,TableQCalcMain[Description])+IF(TableQCalcMain[ShowDesc?]=0,1,0),0),"")</f>
        <v/>
      </c>
      <c r="U57" s="614"/>
      <c r="V57" s="614"/>
      <c r="W57" s="614"/>
      <c r="X57" s="614"/>
      <c r="Y57" s="614"/>
      <c r="Z57" s="614"/>
      <c r="AA57" s="614"/>
      <c r="AB57" s="614"/>
      <c r="AC57" s="614"/>
      <c r="AD57" s="614"/>
      <c r="AE57" s="614"/>
      <c r="AF57" s="614"/>
      <c r="AG57" s="614"/>
      <c r="AH57" s="614"/>
    </row>
    <row r="58" spans="2:34" x14ac:dyDescent="0.2">
      <c r="B58" s="714" t="s">
        <v>774</v>
      </c>
      <c r="C58" s="66"/>
      <c r="D58" s="66"/>
      <c r="E58" s="66"/>
      <c r="F58" s="66"/>
      <c r="G58" s="66"/>
      <c r="H58" s="66"/>
      <c r="I58" s="713" t="s">
        <v>779</v>
      </c>
      <c r="J58" s="66"/>
      <c r="K58" s="66"/>
      <c r="L58" s="66"/>
      <c r="M58" s="66"/>
      <c r="N58" s="77" t="str">
        <f>IF(TableQCalcMain[[#This Row],[RowNumOfShownItems_Unsplit]]&lt;&gt;"",INDEX(TableQCalcMain[Description],TableQCalcMain[[#This Row],[RowNumOfShownItems_Unsplit]]),"")</f>
        <v/>
      </c>
      <c r="O58" s="66" t="str">
        <f>IF(TableQCalcMain[[#This Row],[RowNumOfShownItems_Unsplit]]&lt;&gt;"",INDEX(TableQCalcMain[Harmonized_Code],TableQCalcMain[[#This Row],[RowNumOfShownItems_Unsplit]]),"")</f>
        <v/>
      </c>
      <c r="P58" s="66" t="str">
        <f>IF(TableQCalcMain[[#This Row],[RowNumOfShownItems_Unsplit]]="","",INDEX(TableQCalcMain[Detailed_Ext_Price],TableQCalcMain[[#This Row],[RowNumOfShownItems_Unsplit]]))</f>
        <v/>
      </c>
      <c r="Q58" s="66" t="str">
        <f>IF(TableQCalcMain[[#This Row],[RowNumOfShownItems_Unsplit]]="","",INDEX(TableQCalcMain[Real_Quantity],TableQCalcMain[[#This Row],[RowNumOfShownItems_Unsplit]]))</f>
        <v/>
      </c>
      <c r="R58" s="66" t="str">
        <f>IF(TableQCalcMain[[#This Row],[RowNumOfShownItems_Unsplit]]="","",
IF(IFERROR(
INDEX(TableQCalcMain[Unit_Price],TableQCalcMain[[#This Row],[RowNumOfShownItems_Unsplit]]),0)=0,"",
INDEX(TableQCalcMain[Unit_Price],TableQCalcMain[[#This Row],[RowNumOfShownItems_Unsplit]])
))</f>
        <v/>
      </c>
      <c r="S58" s="66" t="str">
        <f>IF(TableQCalcMain[[#This Row],[RowNumOfShownItems_Unsplit]]="","",
IF(IFERROR(
INDEX(TableQCalcMain[Extended_price],TableQCalcMain[[#This Row],[RowNumOfShownItems_Unsplit]]),0)=0,"",
INDEX(TableQCalcMain[Extended_price],TableQCalcMain[[#This Row],[RowNumOfShownItems_Unsplit]])
))</f>
        <v/>
      </c>
      <c r="T58" t="str">
        <f t="array" ref="T58">IFERROR(MATCH(0,COUNTIF(N$2:$N57,TableQCalcMain[Description])+IF(TableQCalcMain[ShowDesc?]=0,1,0),0),"")</f>
        <v/>
      </c>
      <c r="U58" s="614"/>
      <c r="V58" s="614"/>
      <c r="W58" s="614"/>
      <c r="X58" s="614"/>
      <c r="Y58" s="614"/>
      <c r="Z58" s="614"/>
      <c r="AA58" s="614"/>
      <c r="AB58" s="614"/>
      <c r="AC58" s="614"/>
      <c r="AD58" s="614"/>
      <c r="AE58" s="614"/>
      <c r="AF58" s="614"/>
      <c r="AG58" s="614"/>
      <c r="AH58" s="614"/>
    </row>
    <row r="59" spans="2:34" x14ac:dyDescent="0.2">
      <c r="B59" s="608" t="s">
        <v>343</v>
      </c>
      <c r="C59" s="66" t="str">
        <f>""</f>
        <v/>
      </c>
      <c r="D59" s="66">
        <f>IF(QUOTE_Split_SoftwareHardware,N($C$57),0)</f>
        <v>0</v>
      </c>
      <c r="E59" s="66">
        <v>1</v>
      </c>
      <c r="F59" s="66"/>
      <c r="G59" s="66">
        <f>TableQCalcMain[[#This Row],[ShowDesc?]]*TableQCalcMain[[#This Row],[Software]]</f>
        <v>0</v>
      </c>
      <c r="H59" s="66"/>
      <c r="I59"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",6)</f>
        <v xml:space="preserve">         • Software &amp; Instructions documents (PDF &amp; printed)      </v>
      </c>
      <c r="J59" s="66" t="str">
        <f>""</f>
        <v/>
      </c>
      <c r="K59" s="66" t="str">
        <f>""</f>
        <v/>
      </c>
      <c r="L59" s="66" t="str">
        <f>""</f>
        <v/>
      </c>
      <c r="M59" s="66" t="str">
        <f>""</f>
        <v/>
      </c>
      <c r="N59" s="77" t="str">
        <f>IF(TableQCalcMain[[#This Row],[RowNumOfShownItems_Unsplit]]&lt;&gt;"",INDEX(TableQCalcMain[Description],TableQCalcMain[[#This Row],[RowNumOfShownItems_Unsplit]]),"")</f>
        <v/>
      </c>
      <c r="O59" s="66" t="str">
        <f>IF(TableQCalcMain[[#This Row],[RowNumOfShownItems_Unsplit]]&lt;&gt;"",INDEX(TableQCalcMain[Harmonized_Code],TableQCalcMain[[#This Row],[RowNumOfShownItems_Unsplit]]),"")</f>
        <v/>
      </c>
      <c r="P59" s="66" t="str">
        <f>IF(TableQCalcMain[[#This Row],[RowNumOfShownItems_Unsplit]]="","",INDEX(TableQCalcMain[Detailed_Ext_Price],TableQCalcMain[[#This Row],[RowNumOfShownItems_Unsplit]]))</f>
        <v/>
      </c>
      <c r="Q59" s="66" t="str">
        <f>IF(TableQCalcMain[[#This Row],[RowNumOfShownItems_Unsplit]]="","",INDEX(TableQCalcMain[Real_Quantity],TableQCalcMain[[#This Row],[RowNumOfShownItems_Unsplit]]))</f>
        <v/>
      </c>
      <c r="R59" s="66" t="str">
        <f>IF(TableQCalcMain[[#This Row],[RowNumOfShownItems_Unsplit]]="","",
IF(IFERROR(
INDEX(TableQCalcMain[Unit_Price],TableQCalcMain[[#This Row],[RowNumOfShownItems_Unsplit]]),0)=0,"",
INDEX(TableQCalcMain[Unit_Price],TableQCalcMain[[#This Row],[RowNumOfShownItems_Unsplit]])
))</f>
        <v/>
      </c>
      <c r="S59" s="66" t="str">
        <f>IF(TableQCalcMain[[#This Row],[RowNumOfShownItems_Unsplit]]="","",
IF(IFERROR(
INDEX(TableQCalcMain[Extended_price],TableQCalcMain[[#This Row],[RowNumOfShownItems_Unsplit]]),0)=0,"",
INDEX(TableQCalcMain[Extended_price],TableQCalcMain[[#This Row],[RowNumOfShownItems_Unsplit]])
))</f>
        <v/>
      </c>
      <c r="T59" t="str">
        <f t="array" ref="T59">IFERROR(MATCH(0,COUNTIF(N$2:$N58,TableQCalcMain[Description])+IF(TableQCalcMain[ShowDesc?]=0,1,0),0),"")</f>
        <v/>
      </c>
      <c r="U59" s="614"/>
      <c r="V59" s="614"/>
      <c r="W59" s="614"/>
      <c r="X59" s="614"/>
      <c r="Y59" s="614"/>
      <c r="Z59" s="614"/>
      <c r="AA59" s="614"/>
      <c r="AB59" s="614"/>
      <c r="AC59" s="614"/>
      <c r="AD59" s="614"/>
      <c r="AE59" s="614"/>
      <c r="AF59" s="614"/>
      <c r="AG59" s="614"/>
      <c r="AH59" s="614"/>
    </row>
    <row r="60" spans="2:34" x14ac:dyDescent="0.2">
      <c r="B60" s="66" t="s">
        <v>66</v>
      </c>
      <c r="C60" s="66">
        <f>RHIZOTRON_OptionXL*(RHIZOTRON_N_Software-1)</f>
        <v>0</v>
      </c>
      <c r="D60" s="66">
        <f>0*RHIZOTRON_OptionXL*(RHIZOTRON_N_Software-1)</f>
        <v>0</v>
      </c>
      <c r="E60" s="66">
        <v>1</v>
      </c>
      <c r="F60" s="66"/>
      <c r="G60" s="66">
        <f>TableQCalcMain[[#This Row],[ShowDesc?]]*TableQCalcMain[[#This Row],[Software]]</f>
        <v>0</v>
      </c>
      <c r="H60" s="66">
        <f>TableQCalcMain[[#This Row],[ShowDesc?]]*TableQCalcMain[[#This Row],[Hardware]]</f>
        <v>0</v>
      </c>
      <c r="I60" s="66" t="str">
        <f>IF(Francais,"XLRhizo Tron Logiciel pour l'Analyse des données de WinRHIZO Tron","XLRhizo Tron Software for WinRHIZO Tron's data Analysis")</f>
        <v>XLRhizo Tron Software for WinRHIZO Tron's data Analysis</v>
      </c>
      <c r="J60" s="66" t="str">
        <f>""</f>
        <v/>
      </c>
      <c r="K60" s="66" t="s">
        <v>171</v>
      </c>
      <c r="L60" s="66" t="str">
        <f>""</f>
        <v/>
      </c>
      <c r="M60" s="66" t="str">
        <f>""</f>
        <v/>
      </c>
      <c r="N60" s="77" t="str">
        <f>IF(TableQCalcMain[[#This Row],[RowNumOfShownItems_Unsplit]]&lt;&gt;"",INDEX(TableQCalcMain[Description],TableQCalcMain[[#This Row],[RowNumOfShownItems_Unsplit]]),"")</f>
        <v/>
      </c>
      <c r="O60" s="66" t="str">
        <f>IF(TableQCalcMain[[#This Row],[RowNumOfShownItems_Unsplit]]&lt;&gt;"",INDEX(TableQCalcMain[Harmonized_Code],TableQCalcMain[[#This Row],[RowNumOfShownItems_Unsplit]]),"")</f>
        <v/>
      </c>
      <c r="P60" s="66" t="str">
        <f>IF(TableQCalcMain[[#This Row],[RowNumOfShownItems_Unsplit]]="","",INDEX(TableQCalcMain[Detailed_Ext_Price],TableQCalcMain[[#This Row],[RowNumOfShownItems_Unsplit]]))</f>
        <v/>
      </c>
      <c r="Q60" s="66" t="str">
        <f>IF(TableQCalcMain[[#This Row],[RowNumOfShownItems_Unsplit]]="","",INDEX(TableQCalcMain[Real_Quantity],TableQCalcMain[[#This Row],[RowNumOfShownItems_Unsplit]]))</f>
        <v/>
      </c>
      <c r="R60" s="66" t="str">
        <f>IF(TableQCalcMain[[#This Row],[RowNumOfShownItems_Unsplit]]="","",
IF(IFERROR(
INDEX(TableQCalcMain[Unit_Price],TableQCalcMain[[#This Row],[RowNumOfShownItems_Unsplit]]),0)=0,"",
INDEX(TableQCalcMain[Unit_Price],TableQCalcMain[[#This Row],[RowNumOfShownItems_Unsplit]])
))</f>
        <v/>
      </c>
      <c r="S60" s="66" t="str">
        <f>IF(TableQCalcMain[[#This Row],[RowNumOfShownItems_Unsplit]]="","",
IF(IFERROR(
INDEX(TableQCalcMain[Extended_price],TableQCalcMain[[#This Row],[RowNumOfShownItems_Unsplit]]),0)=0,"",
INDEX(TableQCalcMain[Extended_price],TableQCalcMain[[#This Row],[RowNumOfShownItems_Unsplit]])
))</f>
        <v/>
      </c>
      <c r="T60" t="str">
        <f t="array" ref="T60">IFERROR(MATCH(0,COUNTIF(N$2:$N59,TableQCalcMain[Description])+IF(TableQCalcMain[ShowDesc?]=0,1,0),0),"")</f>
        <v/>
      </c>
      <c r="U60" s="614"/>
      <c r="V60" s="614"/>
      <c r="W60" s="614"/>
      <c r="X60" s="614"/>
      <c r="Y60" s="614"/>
      <c r="Z60" s="614"/>
      <c r="AA60" s="614"/>
      <c r="AB60" s="614"/>
      <c r="AC60" s="614"/>
      <c r="AD60" s="614"/>
      <c r="AE60" s="614"/>
      <c r="AF60" s="614"/>
      <c r="AG60" s="614"/>
      <c r="AH60" s="614"/>
    </row>
    <row r="61" spans="2:34" x14ac:dyDescent="0.2">
      <c r="B61" s="66" t="s">
        <v>347</v>
      </c>
      <c r="C61" s="66">
        <f>N($C$57)+N($C$62)</f>
        <v>0</v>
      </c>
      <c r="D61" s="66">
        <f>IF(AND(QUOTE_Split_SoftwareHardware,TableQCalcMain[[#This Row],[Real_Quantity]]&gt;0),1,0)</f>
        <v>0</v>
      </c>
      <c r="E61" s="66">
        <f>IF(QUOTE_InternetDownload,0,1)</f>
        <v>1</v>
      </c>
      <c r="F61" s="66">
        <f>IF(QUOTE_InternetDownload,1,0)</f>
        <v>0</v>
      </c>
      <c r="G61" s="66">
        <f>TableQCalcMain[[#This Row],[ShowDesc?]]*TableQCalcMain[[#This Row],[Software]]</f>
        <v>0</v>
      </c>
      <c r="H61" s="66">
        <f>TableQCalcMain[[#This Row],[ShowDesc?]]*TableQCalcMain[[#This Row],[Hardware]]</f>
        <v>0</v>
      </c>
      <c r="I61"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WinRHIZO Tron</v>
      </c>
      <c r="J61" s="66">
        <v>852351</v>
      </c>
      <c r="K61" s="66">
        <f>TableQCalcMain[[#This Row],[Extended_price]]</f>
        <v>0</v>
      </c>
      <c r="L61" s="66" t="str">
        <f>IF(OR(TableQCalcMain[[#This Row],[Real_Quantity]]=0,TableQCalcMain[[#This Row],[Extended_price]]=0),"",ROUND(TableQCalcMain[[#This Row],[Extended_price]]/TableQCalcMain[[#This Row],[Real_Quantity]],2))</f>
        <v/>
      </c>
      <c r="M61" s="66">
        <f>PrixUSBKey*TableQCalcMain[[#This Row],[Real_Quantity]]</f>
        <v>0</v>
      </c>
      <c r="N61" s="77" t="str">
        <f>IF(TableQCalcMain[[#This Row],[RowNumOfShownItems_Unsplit]]&lt;&gt;"",INDEX(TableQCalcMain[Description],TableQCalcMain[[#This Row],[RowNumOfShownItems_Unsplit]]),"")</f>
        <v/>
      </c>
      <c r="O61" s="66" t="str">
        <f>IF(TableQCalcMain[[#This Row],[RowNumOfShownItems_Unsplit]]&lt;&gt;"",INDEX(TableQCalcMain[Harmonized_Code],TableQCalcMain[[#This Row],[RowNumOfShownItems_Unsplit]]),"")</f>
        <v/>
      </c>
      <c r="P61" s="66" t="str">
        <f>IF(TableQCalcMain[[#This Row],[RowNumOfShownItems_Unsplit]]="","",INDEX(TableQCalcMain[Detailed_Ext_Price],TableQCalcMain[[#This Row],[RowNumOfShownItems_Unsplit]]))</f>
        <v/>
      </c>
      <c r="Q61" s="66" t="str">
        <f>IF(TableQCalcMain[[#This Row],[RowNumOfShownItems_Unsplit]]="","",INDEX(TableQCalcMain[Real_Quantity],TableQCalcMain[[#This Row],[RowNumOfShownItems_Unsplit]]))</f>
        <v/>
      </c>
      <c r="R61" s="66" t="str">
        <f>IF(TableQCalcMain[[#This Row],[RowNumOfShownItems_Unsplit]]="","",
IF(IFERROR(
INDEX(TableQCalcMain[Unit_Price],TableQCalcMain[[#This Row],[RowNumOfShownItems_Unsplit]]),0)=0,"",
INDEX(TableQCalcMain[Unit_Price],TableQCalcMain[[#This Row],[RowNumOfShownItems_Unsplit]])
))</f>
        <v/>
      </c>
      <c r="S61" s="66" t="str">
        <f>IF(TableQCalcMain[[#This Row],[RowNumOfShownItems_Unsplit]]="","",
IF(IFERROR(
INDEX(TableQCalcMain[Extended_price],TableQCalcMain[[#This Row],[RowNumOfShownItems_Unsplit]]),0)=0,"",
INDEX(TableQCalcMain[Extended_price],TableQCalcMain[[#This Row],[RowNumOfShownItems_Unsplit]])
))</f>
        <v/>
      </c>
      <c r="T61" t="str">
        <f t="array" ref="T61">IFERROR(MATCH(0,COUNTIF(N$2:$N60,TableQCalcMain[Description])+IF(TableQCalcMain[ShowDesc?]=0,1,0),0),"")</f>
        <v/>
      </c>
      <c r="U61" s="614"/>
      <c r="V61" s="614"/>
      <c r="W61" s="614"/>
      <c r="X61" s="614"/>
      <c r="Y61" s="614"/>
      <c r="Z61" s="614"/>
      <c r="AA61" s="614"/>
      <c r="AB61" s="614"/>
      <c r="AC61" s="614"/>
      <c r="AD61" s="614"/>
      <c r="AE61" s="614"/>
      <c r="AF61" s="614"/>
      <c r="AG61" s="614"/>
      <c r="AH61" s="614"/>
    </row>
    <row r="62" spans="2:34" x14ac:dyDescent="0.2">
      <c r="B62" s="607" t="s">
        <v>67</v>
      </c>
      <c r="C62" s="66">
        <f>RHIZOTRON_N_UpgradeUpdate-1</f>
        <v>0</v>
      </c>
      <c r="D62" s="66">
        <f>IFERROR(IF(OR(WinRHIZOTron!#REF!&gt;0,WinRHIZOTron!#REF!&gt;0),RHIZOTRON_N_UpgradeUpdate-1,0),0)</f>
        <v>0</v>
      </c>
      <c r="E62" s="66">
        <v>1</v>
      </c>
      <c r="F62" s="66"/>
      <c r="G62" s="66">
        <f>TableQCalcMain[[#This Row],[ShowDesc?]]*TableQCalcMain[[#This Row],[Software]]</f>
        <v>0</v>
      </c>
      <c r="H62" s="66">
        <f>TableQCalcMain[[#This Row],[ShowDesc?]]*TableQCalcMain[[#This Row],[Hardware]]</f>
        <v>0</v>
      </c>
      <c r="I62" s="607" t="e">
        <f>IF(Francais,"Mise à jour de ","Update from ") &amp;
SUBSTITUTE(TRIM(INDEX(RHIZOTRON_SoftwareList,RHIZOTRON_IndexClientVersion))," "," " &amp; RHIZOTRON_YearClient &amp; " ",2) &amp;
IF(Francais," à "," to ") &amp;
SUBSTITUTE(TRIM(INDEX(RHIZOTRON_SoftwareList,RHIZOTRON_IndexSoftware))," "," " &amp; RHIZOTRON_YearMostRecent &amp; " ",2) &amp; " " &amp; "&amp;" &amp; " XLRhizo Tron"
&amp;
IF(QUOTE_Split_SoftwareHardware,IF(QUOTE_InternetDownload,IF(Francais, ", Téléchargement Internet", ", Internet download"),IF(Francais, ", Envoyé par transporteur", ", Shipped by courier")),IF(Francais," sur media USB (manuels PDF &amp; imprimés)"," on USB drive (PDF &amp; printed manuals)"))</f>
        <v>#REF!</v>
      </c>
      <c r="J62" s="66">
        <f>WinRHIZOTron!I11</f>
        <v>852349</v>
      </c>
      <c r="K62" s="66" t="str">
        <f>""</f>
        <v/>
      </c>
      <c r="L62" s="66" t="e">
        <f>ROUND(TableQCalcMain[[#This Row],[Extended_price]]/TableQCalcMain[[#This Row],[Real_Quantity]],2)</f>
        <v>#REF!</v>
      </c>
      <c r="M62" s="66" t="e">
        <f>ROUND(IF(Distributeurs_Rabais,WinRHIZOTron!#REF!,WinRHIZOTron!#REF!)
-IF(QUOTE_Split_SoftwareHardware,PrixUSBKey*(RHIZOTRON_N_UpgradeUpdate-1),0),2)</f>
        <v>#REF!</v>
      </c>
      <c r="N62" s="77" t="str">
        <f>IF(TableQCalcMain[[#This Row],[RowNumOfShownItems_Unsplit]]&lt;&gt;"",INDEX(TableQCalcMain[Description],TableQCalcMain[[#This Row],[RowNumOfShownItems_Unsplit]]),"")</f>
        <v/>
      </c>
      <c r="O62" s="66" t="str">
        <f>IF(TableQCalcMain[[#This Row],[RowNumOfShownItems_Unsplit]]&lt;&gt;"",INDEX(TableQCalcMain[Harmonized_Code],TableQCalcMain[[#This Row],[RowNumOfShownItems_Unsplit]]),"")</f>
        <v/>
      </c>
      <c r="P62" s="66" t="str">
        <f>IF(TableQCalcMain[[#This Row],[RowNumOfShownItems_Unsplit]]="","",INDEX(TableQCalcMain[Detailed_Ext_Price],TableQCalcMain[[#This Row],[RowNumOfShownItems_Unsplit]]))</f>
        <v/>
      </c>
      <c r="Q62" s="66" t="str">
        <f>IF(TableQCalcMain[[#This Row],[RowNumOfShownItems_Unsplit]]="","",INDEX(TableQCalcMain[Real_Quantity],TableQCalcMain[[#This Row],[RowNumOfShownItems_Unsplit]]))</f>
        <v/>
      </c>
      <c r="R62" s="66" t="str">
        <f>IF(TableQCalcMain[[#This Row],[RowNumOfShownItems_Unsplit]]="","",
IF(IFERROR(
INDEX(TableQCalcMain[Unit_Price],TableQCalcMain[[#This Row],[RowNumOfShownItems_Unsplit]]),0)=0,"",
INDEX(TableQCalcMain[Unit_Price],TableQCalcMain[[#This Row],[RowNumOfShownItems_Unsplit]])
))</f>
        <v/>
      </c>
      <c r="S62" s="66" t="str">
        <f>IF(TableQCalcMain[[#This Row],[RowNumOfShownItems_Unsplit]]="","",
IF(IFERROR(
INDEX(TableQCalcMain[Extended_price],TableQCalcMain[[#This Row],[RowNumOfShownItems_Unsplit]]),0)=0,"",
INDEX(TableQCalcMain[Extended_price],TableQCalcMain[[#This Row],[RowNumOfShownItems_Unsplit]])
))</f>
        <v/>
      </c>
      <c r="T62" t="str">
        <f t="array" ref="T62">IFERROR(MATCH(0,COUNTIF(N$2:$N61,TableQCalcMain[Description])+IF(TableQCalcMain[ShowDesc?]=0,1,0),0),"")</f>
        <v/>
      </c>
      <c r="U62" s="614"/>
      <c r="V62" s="614"/>
      <c r="W62" s="614"/>
      <c r="X62" s="614"/>
      <c r="Y62" s="614"/>
      <c r="Z62" s="614"/>
      <c r="AA62" s="614"/>
      <c r="AB62" s="614"/>
      <c r="AC62" s="614"/>
      <c r="AD62" s="614"/>
      <c r="AE62" s="614"/>
      <c r="AF62" s="614"/>
      <c r="AG62" s="614"/>
      <c r="AH62" s="614"/>
    </row>
    <row r="63" spans="2:34" x14ac:dyDescent="0.2">
      <c r="B63" s="608" t="s">
        <v>343</v>
      </c>
      <c r="C63" s="66" t="str">
        <f>""</f>
        <v/>
      </c>
      <c r="D63" s="66">
        <f>IF(QUOTE_Split_SoftwareHardware,N($C$62),0)</f>
        <v>0</v>
      </c>
      <c r="E63" s="66">
        <v>1</v>
      </c>
      <c r="F63" s="66"/>
      <c r="G63" s="66">
        <f>TableQCalcMain[[#This Row],[ShowDesc?]]*TableQCalcMain[[#This Row],[Software]]</f>
        <v>0</v>
      </c>
      <c r="H63" s="66"/>
      <c r="I6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",7)</f>
        <v xml:space="preserve">         • Software &amp; Instructions documents (PDF &amp; printed)       </v>
      </c>
      <c r="J63" s="66" t="str">
        <f>""</f>
        <v/>
      </c>
      <c r="K63" s="66" t="str">
        <f>""</f>
        <v/>
      </c>
      <c r="L63" s="66" t="str">
        <f>""</f>
        <v/>
      </c>
      <c r="M63" s="66" t="str">
        <f>""</f>
        <v/>
      </c>
      <c r="N63" s="77" t="str">
        <f>IF(TableQCalcMain[[#This Row],[RowNumOfShownItems_Unsplit]]&lt;&gt;"",INDEX(TableQCalcMain[Description],TableQCalcMain[[#This Row],[RowNumOfShownItems_Unsplit]]),"")</f>
        <v/>
      </c>
      <c r="O63" s="66" t="str">
        <f>IF(TableQCalcMain[[#This Row],[RowNumOfShownItems_Unsplit]]&lt;&gt;"",INDEX(TableQCalcMain[Harmonized_Code],TableQCalcMain[[#This Row],[RowNumOfShownItems_Unsplit]]),"")</f>
        <v/>
      </c>
      <c r="P63" s="66" t="str">
        <f>IF(TableQCalcMain[[#This Row],[RowNumOfShownItems_Unsplit]]="","",INDEX(TableQCalcMain[Detailed_Ext_Price],TableQCalcMain[[#This Row],[RowNumOfShownItems_Unsplit]]))</f>
        <v/>
      </c>
      <c r="Q63" s="66" t="str">
        <f>IF(TableQCalcMain[[#This Row],[RowNumOfShownItems_Unsplit]]="","",INDEX(TableQCalcMain[Real_Quantity],TableQCalcMain[[#This Row],[RowNumOfShownItems_Unsplit]]))</f>
        <v/>
      </c>
      <c r="R63" s="66" t="str">
        <f>IF(TableQCalcMain[[#This Row],[RowNumOfShownItems_Unsplit]]="","",
IF(IFERROR(
INDEX(TableQCalcMain[Unit_Price],TableQCalcMain[[#This Row],[RowNumOfShownItems_Unsplit]]),0)=0,"",
INDEX(TableQCalcMain[Unit_Price],TableQCalcMain[[#This Row],[RowNumOfShownItems_Unsplit]])
))</f>
        <v/>
      </c>
      <c r="S63" s="66" t="str">
        <f>IF(TableQCalcMain[[#This Row],[RowNumOfShownItems_Unsplit]]="","",
IF(IFERROR(
INDEX(TableQCalcMain[Extended_price],TableQCalcMain[[#This Row],[RowNumOfShownItems_Unsplit]]),0)=0,"",
INDEX(TableQCalcMain[Extended_price],TableQCalcMain[[#This Row],[RowNumOfShownItems_Unsplit]])
))</f>
        <v/>
      </c>
      <c r="T63" t="str">
        <f t="array" ref="T63">IFERROR(MATCH(0,COUNTIF(N$2:$N62,TableQCalcMain[Description])+IF(TableQCalcMain[ShowDesc?]=0,1,0),0),"")</f>
        <v/>
      </c>
      <c r="U63" s="614"/>
      <c r="V63" s="614"/>
      <c r="W63" s="614"/>
      <c r="X63" s="614"/>
      <c r="Y63" s="614"/>
      <c r="Z63" s="614"/>
      <c r="AA63" s="614"/>
      <c r="AB63" s="614"/>
      <c r="AC63" s="614"/>
      <c r="AD63" s="614"/>
      <c r="AE63" s="614"/>
      <c r="AF63" s="614"/>
      <c r="AG63" s="614"/>
      <c r="AH63" s="614"/>
    </row>
    <row r="64" spans="2:34" x14ac:dyDescent="0.2">
      <c r="B64" s="679" t="s">
        <v>112</v>
      </c>
      <c r="C64" s="679" t="str">
        <f>""</f>
        <v/>
      </c>
      <c r="D64" s="679">
        <f>SUM(D57:D63)</f>
        <v>0</v>
      </c>
      <c r="E64" s="679">
        <v>1</v>
      </c>
      <c r="F64" s="679">
        <v>1</v>
      </c>
      <c r="G64" s="679">
        <f>SUM(G57:G63)</f>
        <v>0</v>
      </c>
      <c r="H64" s="679">
        <f>SUM(H57:H63)</f>
        <v>0</v>
      </c>
      <c r="I64" s="679" t="str">
        <f>REPT(" ",3)</f>
        <v xml:space="preserve">   </v>
      </c>
      <c r="J64" s="679" t="str">
        <f>""</f>
        <v/>
      </c>
      <c r="K64" s="679" t="str">
        <f>""</f>
        <v/>
      </c>
      <c r="L64" s="679" t="str">
        <f>""</f>
        <v/>
      </c>
      <c r="M64" s="679" t="str">
        <f>""</f>
        <v/>
      </c>
      <c r="N64" s="77" t="str">
        <f>IF(TableQCalcMain[[#This Row],[RowNumOfShownItems_Unsplit]]&lt;&gt;"",INDEX(TableQCalcMain[Description],TableQCalcMain[[#This Row],[RowNumOfShownItems_Unsplit]]),"")</f>
        <v/>
      </c>
      <c r="O64" s="66" t="str">
        <f>IF(TableQCalcMain[[#This Row],[RowNumOfShownItems_Unsplit]]&lt;&gt;"",INDEX(TableQCalcMain[Harmonized_Code],TableQCalcMain[[#This Row],[RowNumOfShownItems_Unsplit]]),"")</f>
        <v/>
      </c>
      <c r="P64" s="66" t="str">
        <f>IF(TableQCalcMain[[#This Row],[RowNumOfShownItems_Unsplit]]="","",INDEX(TableQCalcMain[Detailed_Ext_Price],TableQCalcMain[[#This Row],[RowNumOfShownItems_Unsplit]]))</f>
        <v/>
      </c>
      <c r="Q64" s="66" t="str">
        <f>IF(TableQCalcMain[[#This Row],[RowNumOfShownItems_Unsplit]]="","",INDEX(TableQCalcMain[Real_Quantity],TableQCalcMain[[#This Row],[RowNumOfShownItems_Unsplit]]))</f>
        <v/>
      </c>
      <c r="R64" s="66" t="str">
        <f>IF(TableQCalcMain[[#This Row],[RowNumOfShownItems_Unsplit]]="","",
IF(IFERROR(
INDEX(TableQCalcMain[Unit_Price],TableQCalcMain[[#This Row],[RowNumOfShownItems_Unsplit]]),0)=0,"",
INDEX(TableQCalcMain[Unit_Price],TableQCalcMain[[#This Row],[RowNumOfShownItems_Unsplit]])
))</f>
        <v/>
      </c>
      <c r="S64" s="66" t="str">
        <f>IF(TableQCalcMain[[#This Row],[RowNumOfShownItems_Unsplit]]="","",
IF(IFERROR(
INDEX(TableQCalcMain[Extended_price],TableQCalcMain[[#This Row],[RowNumOfShownItems_Unsplit]]),0)=0,"",
INDEX(TableQCalcMain[Extended_price],TableQCalcMain[[#This Row],[RowNumOfShownItems_Unsplit]])
))</f>
        <v/>
      </c>
      <c r="T64" t="str">
        <f t="array" ref="T64">IFERROR(MATCH(0,COUNTIF(N$2:$N63,TableQCalcMain[Description])+IF(TableQCalcMain[ShowDesc?]=0,1,0),0),"")</f>
        <v/>
      </c>
      <c r="U64" s="614"/>
      <c r="V64" s="614"/>
      <c r="W64" s="614"/>
      <c r="X64" s="614"/>
      <c r="Y64" s="614"/>
      <c r="Z64" s="614"/>
      <c r="AA64" s="614"/>
      <c r="AB64" s="614"/>
      <c r="AC64" s="614"/>
      <c r="AD64" s="614"/>
      <c r="AE64" s="614"/>
      <c r="AF64" s="614"/>
      <c r="AG64" s="614"/>
      <c r="AH64" s="614"/>
    </row>
    <row r="65" spans="2:34" x14ac:dyDescent="0.2">
      <c r="B65" s="66" t="s">
        <v>68</v>
      </c>
      <c r="C65" s="66">
        <f>FOLIA_N_System-1</f>
        <v>0</v>
      </c>
      <c r="D65" s="66">
        <f>IF(IFERROR(WinFOLIA!H14+0,0)&gt;0,FOLIA_N_System-1,0)</f>
        <v>0</v>
      </c>
      <c r="E65" s="66">
        <v>1</v>
      </c>
      <c r="F65" s="66"/>
      <c r="G65" s="66">
        <v>0</v>
      </c>
      <c r="H65" s="66">
        <v>0</v>
      </c>
      <c r="I65" s="66" t="str">
        <f>WinFOLIA!E2 &amp; IF(Francais," Incluant:"," Including:")&amp; REPT(" ",2)</f>
        <v xml:space="preserve">WinFOLIA™ Reg 2025 Software With Scanner Including:  </v>
      </c>
      <c r="J65" s="66">
        <f>WinFOLIA!I14</f>
        <v>903149</v>
      </c>
      <c r="K65" s="66" t="e">
        <f>TableQCalcMain[[#This Row],[Extended_price]]</f>
        <v>#REF!</v>
      </c>
      <c r="L65" s="66" t="e">
        <f>IF(OR(TableQCalcMain[[#This Row],[Real_Quantity]]=0,TableQCalcMain[[#This Row],[Extended_price]]=0),"",ROUND(TableQCalcMain[[#This Row],[Extended_price]]/TableQCalcMain[[#This Row],[Real_Quantity]],2))</f>
        <v>#REF!</v>
      </c>
      <c r="M65" s="712" t="e">
        <f>ROUND(
IF(Distributeurs_Rabais,
WinFOLIA!#REF! + WinFOLIA!#REF!,
WinFOLIA!H11 + WinFOLIA!H14)+K67,
2)</f>
        <v>#REF!</v>
      </c>
      <c r="N65" s="613"/>
      <c r="O65" s="613"/>
      <c r="P65" s="613"/>
      <c r="Q65" s="613"/>
      <c r="R65" s="613"/>
      <c r="S65" s="613"/>
      <c r="T65" s="613"/>
      <c r="U65" s="614"/>
      <c r="V65" s="614"/>
      <c r="W65" s="614"/>
      <c r="X65" s="614"/>
      <c r="Y65" s="614"/>
      <c r="Z65" s="614"/>
      <c r="AA65" s="614"/>
      <c r="AB65" s="614"/>
      <c r="AC65" s="614"/>
      <c r="AD65" s="614"/>
      <c r="AE65" s="614"/>
      <c r="AF65" s="614"/>
      <c r="AG65" s="614"/>
      <c r="AH65" s="614"/>
    </row>
    <row r="66" spans="2:34" x14ac:dyDescent="0.2">
      <c r="B66" s="687" t="s">
        <v>69</v>
      </c>
      <c r="C66" s="688">
        <f>IF(AND(NOT(QUOTE_Split_SoftwareHardware),N(D65)&gt;0),
IF(FOLIA_N_Software-1=0,0,""),
FOLIA_N_Software-1)</f>
        <v>0</v>
      </c>
      <c r="D66" s="66">
        <f>TableQCalcMain[[#This Row],[Real_Quantity]]</f>
        <v>0</v>
      </c>
      <c r="E66" s="66">
        <v>1</v>
      </c>
      <c r="F66" s="66"/>
      <c r="G66" s="66">
        <f>N(TableQCalcMain[[#This Row],[ShowDesc?]])*TableQCalcMain[[#This Row],[Software]]</f>
        <v>0</v>
      </c>
      <c r="H66" s="66">
        <f>N(TableQCalcMain[[#This Row],[ShowDesc?]])*TableQCalcMain[[#This Row],[Hardware]]</f>
        <v>0</v>
      </c>
      <c r="I66" s="66" t="str">
        <f>IF(OR(FOLIA_N_System=1,QUOTE_Split_SoftwareHardware),"","   • ") &amp; SUBSTITUTE(LEFT(INDEX(FOLIA_SoftwareFullNames,FOLIA_IndexSoftware),FIND(" ",INDEX(FOLIA_SoftwareFullNames,FOLIA_IndexSoftware),FIND(" ",INDEX(FOLIA_SoftwareFullNames,FOLIA_IndexSoftware))+1)),"™",IF(OR(FOLIA_N_System=1,QUOTE_Split_SoftwareHardware),"™",""))&amp;
FOLIA_YearMostRecent &amp; " " &amp; "&amp;" &amp; " XLFolia"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IF(AND(QUOTE_SameClient=TRUE,FOLIA_N_Software+FOLIA_N_AlreadyHaveSoftware&gt;3),IF(Francais," (incl. rabais multi licenses"," (incl. multi licenses discount")&amp;
" "&amp;TEXT(ROUND((INDEX(FOLIA_SoftwarePriceList,FOLIA_IndexSoftware))*((FOLIA_N_Software-1)-IF(FOLIA_N_Software-1=0,0,SUM(MMULT(
  _xlfn.MUNIT(
   FOLIA_N_Software-1),
    INDEX(TableLists[Column10],FOLIA_N_AlreadyHaveSoftware-1+2):
    INDEX(TableLists[Column10],(FOLIA_N_AlreadyHaveSoftware-1+1)+(FOLIA_N_Software-1))
))))*(1-RebateSoftware*Distributeurs_Rabais),0),"0.00")&amp;")","")</f>
        <v>WinFOLIA™ Reg 2025 &amp; XLFolia Software on USB drive (PDF &amp; printed manuals)</v>
      </c>
      <c r="J66" s="66">
        <f>IF(AND(FOLIA_N_System&gt;1,NOT(QUOTE_Split_SoftwareHardware)),
"",WinFOLIA!I11)</f>
        <v>852349</v>
      </c>
      <c r="K66" s="66">
        <f>ROUND((INDEX(FOLIA_SoftwarePriceList,FOLIA_IndexSoftware))*
IF(FOLIA_N_Software-1=0,0,SUM(MMULT(
  _xlfn.MUNIT(
   FOLIA_N_Software-1),
    INDEX(TableLists[Column10],FOLIA_N_AlreadyHaveSoftware-1+2):
    INDEX(TableLists[Column10],(FOLIA_N_AlreadyHaveSoftware-1+1)+(FOLIA_N_Software-1))
)))*(1-RebateSoftware*Distributeurs_Rabais)
-IF(QUOTE_Split_SoftwareHardware,PrixUSBKey*(FOLIA_N_Software-1),0),0)</f>
        <v>0</v>
      </c>
      <c r="L66" s="66" t="str">
        <f>IF(OR(TableQCalcMain[[#This Row],[Real_Quantity]]=0,TableQCalcMain[[#This Row],[Extended_price]]=0),"",ROUND(TableQCalcMain[[#This Row],[Extended_price]]/TableQCalcMain[[#This Row],[Real_Quantity]],2))</f>
        <v/>
      </c>
      <c r="M66" s="66">
        <f>ROUND(
IF(FOLIA_N_System&gt;1,
IF(NOT(QUOTE_Split_SoftwareHardware),0,TableQCalcMain[[#This Row],[Detailed_Ext_Price]]),
(INDEX(FOLIA_SoftwarePriceList,FOLIA_IndexSoftware))*
IF(FOLIA_N_Software-1=0,0,SUM(MMULT(
  _xlfn.MUNIT(
   FOLIA_N_Software-1),
    INDEX(TableLists[Column10],FOLIA_N_AlreadyHaveSoftware-1+2):
    INDEX(TableLists[Column10],(FOLIA_N_AlreadyHaveSoftware-1+1)+(FOLIA_N_Software-1))
))
)*(1-RebateSoftware*Distributeurs_Rabais)
-IF(QUOTE_Split_SoftwareHardware,PrixUSBKey*(FOLIA_N_Software-1),0)),0)</f>
        <v>0</v>
      </c>
      <c r="N66" s="613"/>
      <c r="O66" s="613"/>
      <c r="P66" s="613"/>
      <c r="Q66" s="613"/>
      <c r="R66" s="613"/>
      <c r="S66" s="613"/>
      <c r="T66" s="613"/>
      <c r="U66" s="614"/>
      <c r="V66" s="614"/>
      <c r="W66" s="614"/>
      <c r="X66" s="614"/>
      <c r="Y66" s="614"/>
      <c r="Z66" s="614"/>
      <c r="AA66" s="614"/>
      <c r="AB66" s="614"/>
      <c r="AC66" s="614"/>
      <c r="AD66" s="614"/>
      <c r="AE66" s="614"/>
      <c r="AF66" s="614"/>
      <c r="AG66" s="614"/>
      <c r="AH66" s="614"/>
    </row>
    <row r="67" spans="2:34" x14ac:dyDescent="0.2">
      <c r="B67" s="710" t="s">
        <v>775</v>
      </c>
      <c r="C67" s="712" t="str">
        <f>""</f>
        <v/>
      </c>
      <c r="D67" s="712" t="e">
        <f>IF(AND(
C65&lt;&gt;0,C66=0,
NOT(QUOTE_Split_SoftwareHardware),
WinFOLIA!#REF!&gt;0
),C76,0)+N("Si il y a un système sans software (update only) et que facture est pas split, afficher UpgradeUpdate en tant que Software dans système")</f>
        <v>#REF!</v>
      </c>
      <c r="E67" s="66"/>
      <c r="F67" s="66"/>
      <c r="G67" s="66"/>
      <c r="H67" s="66"/>
      <c r="I67" s="710" t="e">
        <f>"   • " &amp; I76</f>
        <v>#REF!</v>
      </c>
      <c r="J67" s="710">
        <f>J76</f>
        <v>852349</v>
      </c>
      <c r="K67" s="710" t="e">
        <f>IF(TableQCalcMain[[#This Row],[ShowDesc?]]=0,0,M76)</f>
        <v>#REF!</v>
      </c>
      <c r="L67" s="66"/>
      <c r="M67" s="66"/>
      <c r="N67" s="613"/>
      <c r="O67" s="613"/>
      <c r="P67" s="613"/>
      <c r="Q67" s="613"/>
      <c r="R67" s="613"/>
      <c r="S67" s="613"/>
      <c r="T67" s="613"/>
      <c r="U67" s="614"/>
      <c r="V67" s="614"/>
      <c r="W67" s="614"/>
      <c r="X67" s="614"/>
      <c r="Y67" s="614"/>
      <c r="Z67" s="614"/>
      <c r="AA67" s="614"/>
      <c r="AB67" s="614"/>
      <c r="AC67" s="614"/>
      <c r="AD67" s="614"/>
      <c r="AE67" s="614"/>
      <c r="AF67" s="614"/>
      <c r="AG67" s="614"/>
      <c r="AH67" s="614"/>
    </row>
    <row r="68" spans="2:34" x14ac:dyDescent="0.2">
      <c r="B68" s="608" t="s">
        <v>340</v>
      </c>
      <c r="C68" s="66" t="str">
        <f>""</f>
        <v/>
      </c>
      <c r="D68" s="66">
        <f>IF(QUOTE_Split_SoftwareHardware,N($C$66),0)</f>
        <v>0</v>
      </c>
      <c r="E68" s="66">
        <v>1</v>
      </c>
      <c r="F68" s="66"/>
      <c r="G68" s="66">
        <f>TableQCalcMain[[#This Row],[ShowDesc?]]*TableQCalcMain[[#This Row],[Software]]</f>
        <v>0</v>
      </c>
      <c r="H68" s="66"/>
      <c r="I68"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",8)</f>
        <v xml:space="preserve">         • Software &amp; Instructions documents (PDF &amp; printed)        </v>
      </c>
      <c r="J68" s="66" t="str">
        <f>""</f>
        <v/>
      </c>
      <c r="K68" s="66" t="str">
        <f>""</f>
        <v/>
      </c>
      <c r="L68" s="66" t="str">
        <f>""</f>
        <v/>
      </c>
      <c r="M68" s="66" t="str">
        <f>""</f>
        <v/>
      </c>
      <c r="N68" s="613"/>
      <c r="O68" s="613"/>
      <c r="P68" s="613"/>
      <c r="Q68" s="613"/>
      <c r="R68" s="613"/>
      <c r="S68" s="613"/>
      <c r="T68" s="613"/>
      <c r="U68" s="614"/>
      <c r="V68" s="614"/>
      <c r="W68" s="614"/>
      <c r="X68" s="614"/>
      <c r="Y68" s="614"/>
      <c r="Z68" s="614"/>
      <c r="AA68" s="614"/>
      <c r="AB68" s="614"/>
      <c r="AC68" s="614"/>
      <c r="AD68" s="614"/>
      <c r="AE68" s="614"/>
      <c r="AF68" s="614"/>
      <c r="AG68" s="614"/>
      <c r="AH68" s="614"/>
    </row>
    <row r="69" spans="2:34" x14ac:dyDescent="0.2">
      <c r="B69" s="66" t="s">
        <v>70</v>
      </c>
      <c r="C69" s="66">
        <f>FOLIA_OptionXL*(FOLIA_N_Software-1)</f>
        <v>0</v>
      </c>
      <c r="D69" s="66">
        <f>0*FOLIA_OptionXL*(FOLIA_N_Software-1)</f>
        <v>0</v>
      </c>
      <c r="E69" s="66">
        <v>1</v>
      </c>
      <c r="F69" s="66"/>
      <c r="G69" s="66">
        <f>TableQCalcMain[[#This Row],[ShowDesc?]]*TableQCalcMain[[#This Row],[Software]]</f>
        <v>0</v>
      </c>
      <c r="H69" s="66">
        <f>TableQCalcMain[[#This Row],[ShowDesc?]]*TableQCalcMain[[#This Row],[Hardware]]</f>
        <v>0</v>
      </c>
      <c r="I69" s="66" t="str">
        <f>IF(FOLIA_N_System=1,"","   • ")&amp;IF(Francais,"XLFolia Logiciel pour l'Analyse des données de WinFOLIA","XLFolia Software for WinFOLIA's data Analysis")</f>
        <v>XLFolia Software for WinFOLIA's data Analysis</v>
      </c>
      <c r="J69" s="66" t="str">
        <f>""</f>
        <v/>
      </c>
      <c r="K69" s="66" t="s">
        <v>171</v>
      </c>
      <c r="L69" s="66" t="str">
        <f>""</f>
        <v/>
      </c>
      <c r="M69" s="66" t="str">
        <f>""</f>
        <v/>
      </c>
      <c r="N69" s="613"/>
      <c r="O69" s="613"/>
      <c r="P69" s="613"/>
      <c r="Q69" s="613"/>
      <c r="R69" s="613"/>
      <c r="S69" s="613"/>
      <c r="T69" s="613"/>
      <c r="U69" s="614"/>
      <c r="V69" s="614"/>
      <c r="W69" s="614"/>
      <c r="X69" s="614"/>
      <c r="Y69" s="614"/>
      <c r="Z69" s="614"/>
      <c r="AA69" s="614"/>
      <c r="AB69" s="614"/>
      <c r="AC69" s="614"/>
      <c r="AD69" s="614"/>
      <c r="AE69" s="614"/>
      <c r="AF69" s="614"/>
      <c r="AG69" s="614"/>
      <c r="AH69" s="614"/>
    </row>
    <row r="70" spans="2:34" x14ac:dyDescent="0.2">
      <c r="B70" s="66" t="s">
        <v>333</v>
      </c>
      <c r="C70" s="66">
        <f>N($C$66)+N($C$76)</f>
        <v>0</v>
      </c>
      <c r="D70" s="66">
        <f>IF(AND(QUOTE_Split_SoftwareHardware,TableQCalcMain[[#This Row],[Real_Quantity]]&gt;0),1,0)</f>
        <v>0</v>
      </c>
      <c r="E70" s="66">
        <f>IF(QUOTE_InternetDownload,0,1)</f>
        <v>1</v>
      </c>
      <c r="F70" s="66">
        <f>IF(QUOTE_InternetDownload,1,0)</f>
        <v>0</v>
      </c>
      <c r="G70" s="66">
        <f>TableQCalcMain[[#This Row],[ShowDesc?]]*TableQCalcMain[[#This Row],[Software]]</f>
        <v>0</v>
      </c>
      <c r="H70" s="66">
        <f>TableQCalcMain[[#This Row],[ShowDesc?]]*TableQCalcMain[[#This Row],[Hardware]]</f>
        <v>0</v>
      </c>
      <c r="I70"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WinFOLIA</v>
      </c>
      <c r="J70" s="66">
        <v>852351</v>
      </c>
      <c r="K70" s="66">
        <f>TableQCalcMain[[#This Row],[Extended_price]]</f>
        <v>0</v>
      </c>
      <c r="L70" s="66" t="str">
        <f>IF(OR(TableQCalcMain[[#This Row],[Real_Quantity]]=0,TableQCalcMain[[#This Row],[Extended_price]]=0),"",ROUND(TableQCalcMain[[#This Row],[Extended_price]]/TableQCalcMain[[#This Row],[Real_Quantity]],2))</f>
        <v/>
      </c>
      <c r="M70" s="66">
        <f>PrixUSBKey*TableQCalcMain[[#This Row],[Real_Quantity]]</f>
        <v>0</v>
      </c>
      <c r="N70" s="613"/>
      <c r="O70" s="613"/>
      <c r="P70" s="613"/>
      <c r="Q70" s="613"/>
      <c r="R70" s="613"/>
      <c r="S70" s="613"/>
      <c r="T70" s="613"/>
      <c r="U70" s="614"/>
      <c r="V70" s="614"/>
      <c r="W70" s="614"/>
      <c r="X70" s="614"/>
      <c r="Y70" s="614"/>
      <c r="Z70" s="614"/>
      <c r="AA70" s="614"/>
      <c r="AB70" s="614"/>
      <c r="AC70" s="614"/>
      <c r="AD70" s="614"/>
      <c r="AE70" s="614"/>
      <c r="AF70" s="614"/>
      <c r="AG70" s="614"/>
      <c r="AH70" s="614"/>
    </row>
    <row r="71" spans="2:34" x14ac:dyDescent="0.2">
      <c r="B71" s="66" t="s">
        <v>98</v>
      </c>
      <c r="C71" s="66" t="str">
        <f>IF(NOT(QUOTE_Split_SoftwareHardware),"",C65)</f>
        <v/>
      </c>
      <c r="D71" s="66">
        <f>IF(FOLIA_ClientWithOrWithoutScanner=1,$D$65,0)</f>
        <v>0</v>
      </c>
      <c r="E71" s="66"/>
      <c r="F71" s="66">
        <v>1</v>
      </c>
      <c r="G71" s="66">
        <f>TableQCalcMain[[#This Row],[ShowDesc?]]*TableQCalcMain[[#This Row],[Software]]</f>
        <v>0</v>
      </c>
      <c r="H71" s="66">
        <f>TableQCalcMain[[#This Row],[ShowDesc?]]*TableQCalcMain[[#This Row],[Hardware]]</f>
        <v>0</v>
      </c>
      <c r="I71" s="66" t="str">
        <f>IF(OR(FOLIA_N_System=1,QUOTE_Split_SoftwareHardware),"","   • ")&amp;IF(OR(FOLIA_IndexScanner=1,FOLIA_IndexScanner=2),
IF(FOLIA_IndexScanner=1,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",10)&amp;"S/N:"&amp;FOLIA_Serial&amp;REPT(" ",2),
IF(FOLIA_IndexScanner=3,
IF(Francais," Scanner LC4800: 4800 ppp, Surface de Scan 22x28cm"," LC4800 Scanner: 4800 dpi, Scan Area 22x28cm"))&amp;REPT(" ",10)&amp;"S/N:"&amp;FOLIA_Serial&amp;REPT(" ",2))</f>
        <v xml:space="preserve"> STD4800 Scanner: 4800 dpi, Scan Area 22x30cm (20x25cm with SL)          S/N:  </v>
      </c>
      <c r="J71" s="66" t="str">
        <f>IF(QUOTE_Split_SoftwareHardware,ScannerHCode,"")</f>
        <v/>
      </c>
      <c r="K71" s="66">
        <f>IF(FOLIA_ClientWithOrWithoutScanner=1,
   IF(Distributeurs_Rabais,
      IF(FOLIA_IndexScanner=1,PrixSTD_Dist,IF(FOLIA_IndexScanner=2,PrixLA_Dist,PrixLC_Dist)),
      IF(FOLIA_IndexScanner=1,PrixSTD,          IF(FOLIA_IndexScanner=2,PrixLA,          PrixLC))
    ),
0)
*(FOLIA_N_System-1) -K74</f>
        <v>0</v>
      </c>
      <c r="L71" s="66">
        <f>IF(C65=0,0,ROUND(TableQCalcMain[[#This Row],[Extended_price]]/C65,2))</f>
        <v>0</v>
      </c>
      <c r="M71" s="66">
        <f>IF(NOT(QUOTE_Split_SoftwareHardware),0,TableQCalcMain[[#This Row],[Detailed_Ext_Price]]+N(K72)+K73)</f>
        <v>0</v>
      </c>
      <c r="N71" s="613"/>
      <c r="O71" s="613"/>
      <c r="P71" s="613"/>
      <c r="Q71" s="613"/>
      <c r="R71" s="613"/>
      <c r="S71" s="613"/>
      <c r="T71" s="613"/>
      <c r="U71" s="614"/>
      <c r="V71" s="614"/>
      <c r="W71" s="614"/>
      <c r="X71" s="614"/>
      <c r="Y71" s="614"/>
      <c r="Z71" s="614"/>
      <c r="AA71" s="614"/>
      <c r="AB71" s="614"/>
      <c r="AC71" s="614"/>
      <c r="AD71" s="614"/>
      <c r="AE71" s="614"/>
      <c r="AF71" s="614"/>
      <c r="AG71" s="614"/>
      <c r="AH71" s="614"/>
    </row>
    <row r="72" spans="2:34" ht="17" x14ac:dyDescent="0.2">
      <c r="B72" s="66" t="s">
        <v>99</v>
      </c>
      <c r="C72" s="591" t="str">
        <f>IF(AND(FOLIA_ClientWithOrWithoutScanner=1,FOLIA_IndexScanner=2),D72,"")</f>
        <v/>
      </c>
      <c r="D72" s="66">
        <f>IF(AND(WinFOLIA!G22&gt;0,D65&gt;0),FOLIA_OptionTPU-1,IF(AND(FOLIA_ClientWithOrWithoutScanner=1,FOLIA_IndexScanner=1),D65,0))</f>
        <v>0</v>
      </c>
      <c r="E72" s="66"/>
      <c r="F72" s="66">
        <v>1</v>
      </c>
      <c r="G72" s="66">
        <f>TableQCalcMain[[#This Row],[ShowDesc?]]*TableQCalcMain[[#This Row],[Software]]</f>
        <v>0</v>
      </c>
      <c r="H72" s="66">
        <f>TableQCalcMain[[#This Row],[ShowDesc?]]*TableQCalcMain[[#This Row],[Hardware]]</f>
        <v>0</v>
      </c>
      <c r="I72" s="66" t="str">
        <f>"         " &amp; WinFOLIA!E22 &amp; REPT(" ",1) &amp;REPT(" ",15) &amp; "S/N:" &amp;FOLIA_SerialTPU</f>
        <v xml:space="preserve">         • Special Light (SL) to scan Leaves differently, Roots, Seeds &amp; Needles                S/N:</v>
      </c>
      <c r="J72" s="66" t="str">
        <f>""</f>
        <v/>
      </c>
      <c r="K72" s="615" t="str">
        <f>IF(FOLIA_IndexScanner=1,
"incl.",
IF(Distributeurs_Rabais,PrixTPU_Dist,PrixTPU)*(FOLIA_OptionTPU-1)
)</f>
        <v>incl.</v>
      </c>
      <c r="L72" s="66" t="str">
        <f>""</f>
        <v/>
      </c>
      <c r="M72" s="66" t="str">
        <f>""</f>
        <v/>
      </c>
      <c r="N72" s="613"/>
      <c r="O72" s="613"/>
      <c r="P72" s="613"/>
      <c r="Q72" s="613"/>
      <c r="R72" s="613"/>
      <c r="S72" s="613"/>
      <c r="T72" s="613"/>
      <c r="U72" s="614"/>
      <c r="V72" s="614"/>
      <c r="W72" s="614"/>
      <c r="X72" s="614"/>
      <c r="Y72" s="614"/>
      <c r="Z72" s="614"/>
      <c r="AA72" s="614"/>
      <c r="AB72" s="614"/>
      <c r="AC72" s="614"/>
      <c r="AD72" s="614"/>
      <c r="AE72" s="614"/>
      <c r="AF72" s="614"/>
      <c r="AG72" s="614"/>
      <c r="AH72" s="614"/>
    </row>
    <row r="73" spans="2:34" x14ac:dyDescent="0.2">
      <c r="B73" s="66" t="s">
        <v>100</v>
      </c>
      <c r="C73" s="66" t="str">
        <f>IF(AND(QUOTE_Split_SoftwareHardware,FOLIA_PosiOrBlueBG_Checkbox,NOT(FOLIA_ClientWithOrWithoutScanner_ChkBox)),C65,"")</f>
        <v/>
      </c>
      <c r="D73" s="66">
        <f>IF(FOLIA_PosiOrBlueBG_Checkbox,D65,0)</f>
        <v>0</v>
      </c>
      <c r="E73" s="66"/>
      <c r="F73" s="66">
        <v>1</v>
      </c>
      <c r="G73" s="66">
        <f>TableQCalcMain[[#This Row],[ShowDesc?]]*TableQCalcMain[[#This Row],[Software]]</f>
        <v>0</v>
      </c>
      <c r="H73" s="66">
        <f>TableQCalcMain[[#This Row],[ShowDesc?]]*TableQCalcMain[[#This Row],[Hardware]]</f>
        <v>0</v>
      </c>
      <c r="I73" s="66" t="str">
        <f>SUBSTITUTE("         " &amp; WinFOLIA!D21,
"         • ",
IF(AND(QUOTE_Split_SoftwareHardware,NOT(FOLIA_ClientWithOrWithoutScanner_ChkBox)),"","         • "))</f>
        <v xml:space="preserve">         • Blue Background for Color Analysis for STD scanner</v>
      </c>
      <c r="J73" s="66" t="str">
        <f>IF(AND(FOLIA_PosiOrBlueBG_Checkbox,QUOTE_Split_SoftwareHardware),WinFOLIA!$I$24,"")</f>
        <v/>
      </c>
      <c r="K73" s="66">
        <f>ROUND(INDEX(PrixBlBgSTD_LA_LC,1,,FOLIA_IndexScanner)*(FOLIA_PosiOrBlueBG_Checkbox)*(FOLIA_N_System-1)*(1-RebateHardware*Distributeurs_Rabais),0)</f>
        <v>0</v>
      </c>
      <c r="L73" s="66">
        <f>IF(AND(QUOTE_Split_SoftwareHardware,FOLIA_PosiOrBlueBG_Checkbox,NOT(FOLIA_ClientWithOrWithoutScanner_ChkBox)),TableQCalcMain[[#This Row],[Detailed_Ext_Price]]/TableQCalcMain[[#This Row],[ShowDesc?]],0)</f>
        <v>0</v>
      </c>
      <c r="M73" s="66">
        <f>IF(AND(QUOTE_Split_SoftwareHardware,FOLIA_PosiOrBlueBG_Checkbox,NOT(FOLIA_ClientWithOrWithoutScanner_ChkBox)),TableQCalcMain[[#This Row],[Detailed_Ext_Price]],0)</f>
        <v>0</v>
      </c>
      <c r="N73" s="613"/>
      <c r="O73" s="613"/>
      <c r="P73" s="613"/>
      <c r="Q73" s="613"/>
      <c r="R73" s="613"/>
      <c r="S73" s="613"/>
      <c r="T73" s="613"/>
      <c r="U73" s="614"/>
      <c r="V73" s="614"/>
      <c r="W73" s="614"/>
      <c r="X73" s="614"/>
      <c r="Y73" s="614"/>
      <c r="Z73" s="614"/>
      <c r="AA73" s="614"/>
      <c r="AB73" s="614"/>
      <c r="AC73" s="614"/>
      <c r="AD73" s="614"/>
      <c r="AE73" s="614"/>
      <c r="AF73" s="614"/>
      <c r="AG73" s="614"/>
      <c r="AH73" s="614"/>
    </row>
    <row r="74" spans="2:34" x14ac:dyDescent="0.2">
      <c r="B74" s="717" t="s">
        <v>359</v>
      </c>
      <c r="C74" s="717" t="str">
        <f>IF(AND((QUOTE_Split_SoftwareHardware),N(C66)=0),C65,
IF(AND(QUOTE_Split_SoftwareHardware,NOT(FOLIA_ClientWithOrWithoutScanner_ChkBox)),C65,"")
)</f>
        <v/>
      </c>
      <c r="D74" s="717">
        <f>IF(AND((QUOTE_Split_SoftwareHardware),AND(NOT(SuperUser),N(D66)=0)),0,D65)</f>
        <v>0</v>
      </c>
      <c r="E74" s="681">
        <v>1</v>
      </c>
      <c r="F74" s="681">
        <v>0</v>
      </c>
      <c r="G74" s="681">
        <f>TableQCalcMain[[#This Row],[ShowDesc?]]*TableQCalcMain[[#This Row],[Software]]</f>
        <v>0</v>
      </c>
      <c r="H74" s="681">
        <f>TableQCalcMain[[#This Row],[ShowDesc?]]*TableQCalcMain[[#This Row],[Hardware]]</f>
        <v>0</v>
      </c>
      <c r="I74" s="717" t="str">
        <f>IF(AND((QUOTE_Split_SoftwareHardware),N(C66)=0),"","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Scanner Calibration, Instructions, TWAIN driver &amp; Technical support  </v>
      </c>
      <c r="J74" s="681" t="str">
        <f>""</f>
        <v/>
      </c>
      <c r="K74" s="681">
        <f>ROUND((IF(FOLIA_IndexScanner=3,LC_GenCalib_Drivers_Instr_Techsup,IF(FOLIA_IndexScanner=1,STD_GenCalib_Drivers_Instr_Techsup,LA_GenCalib_Drivers_Instr_Techsup)
))*(FOLIA_N_System-1)*(1-RebateCalibScanner*Distributeurs_Rabais),0)</f>
        <v>0</v>
      </c>
      <c r="L74" s="681" t="str">
        <f>IF(QUOTE_Split_SoftwareHardware,TableQCalcMain[[#This Row],[Detailed_Ext_Price]]/TableQCalcMain[[#This Row],[ShowDesc?]],"")</f>
        <v/>
      </c>
      <c r="M74" s="681">
        <f>IF(QUOTE_Split_SoftwareHardware,TableQCalcMain[[#This Row],[Detailed_Ext_Price]],0)</f>
        <v>0</v>
      </c>
      <c r="N74" s="613"/>
      <c r="O74" s="613"/>
      <c r="P74" s="613"/>
      <c r="Q74" s="613"/>
      <c r="R74" s="613"/>
      <c r="S74" s="613"/>
      <c r="T74" s="613"/>
      <c r="U74" s="614"/>
      <c r="V74" s="614"/>
      <c r="W74" s="614"/>
      <c r="X74" s="614"/>
      <c r="Y74" s="614"/>
      <c r="Z74" s="614"/>
      <c r="AA74" s="614"/>
      <c r="AB74" s="614"/>
      <c r="AC74" s="614"/>
      <c r="AD74" s="614"/>
      <c r="AE74" s="614"/>
      <c r="AF74" s="614"/>
      <c r="AG74" s="614"/>
      <c r="AH74" s="614"/>
    </row>
    <row r="75" spans="2:34" x14ac:dyDescent="0.2">
      <c r="B75" s="66" t="s">
        <v>354</v>
      </c>
      <c r="C75" s="591"/>
      <c r="D75" s="66"/>
      <c r="E75" s="66"/>
      <c r="F75" s="66"/>
      <c r="G75" s="66"/>
      <c r="H75" s="66"/>
      <c r="I75" s="66"/>
      <c r="J75" s="66" t="str">
        <f>""</f>
        <v/>
      </c>
      <c r="K75" s="66" t="str">
        <f>""</f>
        <v/>
      </c>
      <c r="L75" s="66" t="str">
        <f>""</f>
        <v/>
      </c>
      <c r="M75" s="66" t="str">
        <f>""</f>
        <v/>
      </c>
      <c r="N75" s="613"/>
      <c r="O75" s="613"/>
      <c r="P75" s="613"/>
      <c r="Q75" s="613"/>
      <c r="R75" s="613"/>
      <c r="S75" s="613"/>
      <c r="T75" s="613"/>
      <c r="U75" s="614"/>
      <c r="V75" s="614"/>
      <c r="W75" s="614"/>
      <c r="X75" s="614"/>
      <c r="Y75" s="614"/>
      <c r="Z75" s="614"/>
      <c r="AA75" s="614"/>
      <c r="AB75" s="614"/>
      <c r="AC75" s="614"/>
      <c r="AD75" s="614"/>
      <c r="AE75" s="614"/>
      <c r="AF75" s="614"/>
      <c r="AG75" s="614"/>
      <c r="AH75" s="614"/>
    </row>
    <row r="76" spans="2:34" x14ac:dyDescent="0.2">
      <c r="B76" s="607" t="s">
        <v>71</v>
      </c>
      <c r="C76" s="66">
        <f>FOLIA_N_UpgradeUpdate-1</f>
        <v>0</v>
      </c>
      <c r="D76" s="712">
        <f>IFERROR(IF(AND(D67=0,OR(WinFOLIA!#REF!&gt;0,WinFOLIA!#REF!&gt;0)),FOLIA_N_UpgradeUpdate-1,0),0)</f>
        <v>0</v>
      </c>
      <c r="E76" s="66">
        <v>1</v>
      </c>
      <c r="F76" s="66"/>
      <c r="G76" s="66">
        <f>TableQCalcMain[[#This Row],[ShowDesc?]]*TableQCalcMain[[#This Row],[Software]]</f>
        <v>0</v>
      </c>
      <c r="H76" s="66">
        <f>TableQCalcMain[[#This Row],[ShowDesc?]]*TableQCalcMain[[#This Row],[Hardware]]</f>
        <v>0</v>
      </c>
      <c r="I76" s="607" t="e">
        <f>IF(Francais,"Mise à jour de ","Update from ") &amp;
SUBSTITUTE(TRIM(INDEX(FOLIA_SoftwareList,FOLIA_IndexClientVersion))," "," " &amp; FOLIA_YearClient &amp; " ",1) &amp;
IF(Francais," à "," to ") &amp;
SUBSTITUTE(TRIM(INDEX(FOLIA_SoftwareList,FOLIA_IndexSoftware))," "," " &amp; FOLIA_YearMostRecent &amp; " ",1) &amp; " " &amp; "&amp;" &amp; " XLFolia"
&amp;
IF(QUOTE_Split_SoftwareHardware,IF(QUOTE_InternetDownload,IF(Francais, ", Téléchargement Internet", ", Internet download"),IF(Francais, ", Envoyé par transporteur", ", Shipped by courier")),IF(Francais," sur media USB (manuels PDF &amp; imprimés)"," on USB drive (PDF &amp; printed manuals)"))</f>
        <v>#REF!</v>
      </c>
      <c r="J76" s="66">
        <f>IF(FOLIA_N_System&gt;1,
"",WinFOLIA!I11)</f>
        <v>852349</v>
      </c>
      <c r="K76" s="66" t="str">
        <f>""</f>
        <v/>
      </c>
      <c r="L76" s="66" t="e">
        <f>ROUND(TableQCalcMain[[#This Row],[Extended_price]]/TableQCalcMain[[#This Row],[Real_Quantity]],2)</f>
        <v>#REF!</v>
      </c>
      <c r="M76" s="66" t="e">
        <f>ROUND(IF(Distributeurs_Rabais,WinFOLIA!#REF!,WinFOLIA!#REF!)
-IF(QUOTE_Split_SoftwareHardware,PrixUSBKey*(FOLIA_N_UpgradeUpdate-1),0),2)</f>
        <v>#REF!</v>
      </c>
      <c r="N76" s="613"/>
      <c r="O76" s="613"/>
      <c r="P76" s="613"/>
      <c r="Q76" s="613"/>
      <c r="R76" s="613"/>
      <c r="S76" s="613"/>
      <c r="T76" s="613"/>
      <c r="U76" s="614"/>
      <c r="V76" s="614"/>
      <c r="W76" s="614"/>
      <c r="X76" s="614"/>
      <c r="Y76" s="614"/>
      <c r="Z76" s="614"/>
      <c r="AA76" s="614"/>
      <c r="AB76" s="614"/>
      <c r="AC76" s="614"/>
      <c r="AD76" s="614"/>
      <c r="AE76" s="614"/>
      <c r="AF76" s="614"/>
      <c r="AG76" s="614"/>
      <c r="AH76" s="614"/>
    </row>
    <row r="77" spans="2:34" x14ac:dyDescent="0.2">
      <c r="B77" s="608" t="s">
        <v>340</v>
      </c>
      <c r="C77" s="66" t="str">
        <f>""</f>
        <v/>
      </c>
      <c r="D77" s="66">
        <f>IF(QUOTE_Split_SoftwareHardware,N($C$76),0)</f>
        <v>0</v>
      </c>
      <c r="E77" s="66">
        <v>1</v>
      </c>
      <c r="F77" s="66"/>
      <c r="G77" s="66">
        <f>TableQCalcMain[[#This Row],[ShowDesc?]]*TableQCalcMain[[#This Row],[Software]]</f>
        <v>0</v>
      </c>
      <c r="H77" s="66"/>
      <c r="I7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",9)</f>
        <v xml:space="preserve">         • Software &amp; Instructions documents (PDF &amp; printed)         </v>
      </c>
      <c r="J77" s="66" t="str">
        <f>""</f>
        <v/>
      </c>
      <c r="K77" s="66" t="str">
        <f>""</f>
        <v/>
      </c>
      <c r="L77" s="66" t="str">
        <f>""</f>
        <v/>
      </c>
      <c r="M77" s="66" t="str">
        <f>""</f>
        <v/>
      </c>
      <c r="N77" s="613"/>
      <c r="O77" s="613"/>
      <c r="P77" s="613"/>
      <c r="Q77" s="613"/>
      <c r="R77" s="613"/>
      <c r="S77" s="613"/>
      <c r="T77" s="613"/>
      <c r="U77" s="614"/>
      <c r="V77" s="614"/>
      <c r="W77" s="614"/>
      <c r="X77" s="614"/>
      <c r="Y77" s="614"/>
      <c r="Z77" s="614"/>
      <c r="AA77" s="614"/>
      <c r="AB77" s="614"/>
      <c r="AC77" s="614"/>
      <c r="AD77" s="614"/>
      <c r="AE77" s="614"/>
      <c r="AF77" s="614"/>
      <c r="AG77" s="614"/>
      <c r="AH77" s="614"/>
    </row>
    <row r="78" spans="2:34" x14ac:dyDescent="0.2">
      <c r="B78" s="681" t="str">
        <f>B74&amp;"Upd"</f>
        <v>FOLIA System Calib ManualUpd</v>
      </c>
      <c r="C78" s="681" t="str">
        <f>""</f>
        <v/>
      </c>
      <c r="D78" s="681">
        <f>IF(AND(D65&gt;0,D66=0),D70,0)</f>
        <v>0</v>
      </c>
      <c r="E78" s="681">
        <v>1</v>
      </c>
      <c r="F78" s="681">
        <v>0</v>
      </c>
      <c r="G78" s="681">
        <f>TableQCalcMain[[#This Row],[ShowDesc?]]*TableQCalcMain[[#This Row],[Software]]</f>
        <v>0</v>
      </c>
      <c r="H78" s="681">
        <f>TableQCalcMain[[#This Row],[ShowDesc?]]*TableQCalcMain[[#This Row],[Hardware]]</f>
        <v>0</v>
      </c>
      <c r="I78"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Scanner Calibration, Instructions, TWAIN driver &amp; Technical support       </v>
      </c>
      <c r="J78" s="681" t="str">
        <f>J74</f>
        <v/>
      </c>
      <c r="K78" s="681">
        <f t="shared" ref="K78:M78" si="2">K74</f>
        <v>0</v>
      </c>
      <c r="L78" s="681" t="str">
        <f>IF(QUOTE_Split_SoftwareHardware,TableQCalcMain[[#This Row],[Detailed_Ext_Price]]/TableQCalcMain[[#This Row],[ShowDesc?]],"")</f>
        <v/>
      </c>
      <c r="M78" s="681">
        <f t="shared" si="2"/>
        <v>0</v>
      </c>
      <c r="N78" s="613"/>
      <c r="O78" s="613"/>
      <c r="P78" s="613"/>
      <c r="Q78" s="613"/>
      <c r="R78" s="613"/>
      <c r="S78" s="613"/>
      <c r="T78" s="613"/>
      <c r="U78" s="614"/>
      <c r="V78" s="614"/>
      <c r="W78" s="614"/>
      <c r="X78" s="614"/>
      <c r="Y78" s="614"/>
      <c r="Z78" s="614"/>
      <c r="AA78" s="614"/>
      <c r="AB78" s="614"/>
      <c r="AC78" s="614"/>
      <c r="AD78" s="614"/>
      <c r="AE78" s="614"/>
      <c r="AF78" s="614"/>
      <c r="AG78" s="614"/>
      <c r="AH78" s="614"/>
    </row>
    <row r="79" spans="2:34" x14ac:dyDescent="0.2">
      <c r="B79" s="66" t="s">
        <v>72</v>
      </c>
      <c r="C79" s="66">
        <f>IF(TableQCalcMain[[#This Row],[Unit_Price]]&gt;0,TableQCalcMain[[#This Row],[ShowDesc?]],0)</f>
        <v>0</v>
      </c>
      <c r="D79" s="66">
        <v>0</v>
      </c>
      <c r="E79" s="66"/>
      <c r="F79" s="66"/>
      <c r="G79" s="66">
        <f>TableQCalcMain[[#This Row],[ShowDesc?]]*TableQCalcMain[[#This Row],[Software]]</f>
        <v>0</v>
      </c>
      <c r="H79" s="66">
        <f>TableQCalcMain[[#This Row],[ShowDesc?]]*TableQCalcMain[[#This Row],[Hardware]]</f>
        <v>0</v>
      </c>
      <c r="I79" s="66">
        <v>0</v>
      </c>
      <c r="J79" s="66" t="str">
        <f>""</f>
        <v/>
      </c>
      <c r="K79" s="66" t="str">
        <f>""</f>
        <v/>
      </c>
      <c r="L79" s="66" t="str">
        <f>""</f>
        <v/>
      </c>
      <c r="M79" s="66" t="str">
        <f>IFERROR(
IF(TableQCalcMain[[#This Row],[Unit_Price]]*TableQCalcMain[[#This Row],[Real_Quantity]]&gt;0,
TableQCalcMain[[#This Row],[Unit_Price]]*TableQCalcMain[[#This Row],[Real_Quantity]],""),"")</f>
        <v/>
      </c>
      <c r="N79" s="613"/>
      <c r="O79" s="614"/>
      <c r="P79" s="614"/>
      <c r="Q79" s="614"/>
      <c r="R79" s="614"/>
      <c r="S79" s="614"/>
      <c r="T79" s="613"/>
      <c r="U79" s="614"/>
      <c r="V79" s="614"/>
      <c r="W79" s="614"/>
      <c r="X79" s="614"/>
      <c r="Y79" s="614"/>
      <c r="Z79" s="614"/>
      <c r="AA79" s="614"/>
      <c r="AB79" s="614"/>
      <c r="AC79" s="614"/>
      <c r="AD79" s="614"/>
      <c r="AE79" s="614"/>
      <c r="AF79" s="614"/>
      <c r="AG79" s="614"/>
      <c r="AH79" s="614"/>
    </row>
    <row r="80" spans="2:34" x14ac:dyDescent="0.2">
      <c r="B80" s="66" t="s">
        <v>73</v>
      </c>
      <c r="C80" s="66">
        <f>IF(TableQCalcMain[[#This Row],[Unit_Price]]&gt;0,TableQCalcMain[[#This Row],[ShowDesc?]],"")</f>
        <v>0</v>
      </c>
      <c r="D80" s="66">
        <f>IF(TableQCalcMain[[#This Row],[Unit_Price]]&gt;0,FOLIA_Option2-1,0)</f>
        <v>0</v>
      </c>
      <c r="E80" s="66"/>
      <c r="F80" s="66">
        <v>1</v>
      </c>
      <c r="G80" s="66">
        <f>TableQCalcMain[[#This Row],[ShowDesc?]]*TableQCalcMain[[#This Row],[Software]]</f>
        <v>0</v>
      </c>
      <c r="H80" s="66">
        <f>TableQCalcMain[[#This Row],[ShowDesc?]]*TableQCalcMain[[#This Row],[Hardware]]</f>
        <v>0</v>
      </c>
      <c r="I80" s="66" t="str">
        <f>WinFOLIA!D24 &amp; REPT(" ",0)</f>
        <v>12" x 16" PICK* Incl. 1 White, 1 Blue Leaf Press &amp; Calibration Targets</v>
      </c>
      <c r="J80" s="66">
        <f>WinFOLIA!$I$24</f>
        <v>900691</v>
      </c>
      <c r="K80" s="66" t="str">
        <f>""</f>
        <v/>
      </c>
      <c r="L80" s="66">
        <f>ROUND(
IF(Distributeurs_Rabais,WinFOLIA!#REF!,WinFOLIA!G24),
2)</f>
        <v>231</v>
      </c>
      <c r="M80" s="66" t="str">
        <f>IFERROR(
IF(TableQCalcMain[[#This Row],[Unit_Price]]*TableQCalcMain[[#This Row],[Real_Quantity]]&gt;0,
TableQCalcMain[[#This Row],[Unit_Price]]*TableQCalcMain[[#This Row],[Real_Quantity]],""),"")</f>
        <v/>
      </c>
      <c r="N80" s="613"/>
      <c r="O80" s="614"/>
      <c r="P80" s="614"/>
      <c r="Q80" s="614"/>
      <c r="R80" s="614"/>
      <c r="S80" s="614"/>
      <c r="T80" s="613"/>
      <c r="U80" s="614"/>
      <c r="V80" s="614"/>
      <c r="W80" s="614"/>
      <c r="X80" s="614"/>
      <c r="Y80" s="614"/>
      <c r="Z80" s="614"/>
      <c r="AA80" s="614"/>
      <c r="AB80" s="614"/>
      <c r="AC80" s="614"/>
      <c r="AD80" s="614"/>
      <c r="AE80" s="614"/>
      <c r="AF80" s="614"/>
      <c r="AG80" s="614"/>
      <c r="AH80" s="614"/>
    </row>
    <row r="81" spans="2:34" x14ac:dyDescent="0.2">
      <c r="B81" s="66" t="s">
        <v>74</v>
      </c>
      <c r="C81" s="66">
        <f>IF(TableQCalcMain[[#This Row],[Unit_Price]]&gt;0,TableQCalcMain[[#This Row],[ShowDesc?]],0)</f>
        <v>0</v>
      </c>
      <c r="D81" s="66">
        <f>IF(TableQCalcMain[[#This Row],[Unit_Price]]&gt;0,FOLIA_Option3-1,0)</f>
        <v>0</v>
      </c>
      <c r="E81" s="66"/>
      <c r="F81" s="66">
        <v>1</v>
      </c>
      <c r="G81" s="66">
        <f>TableQCalcMain[[#This Row],[ShowDesc?]]*TableQCalcMain[[#This Row],[Software]]</f>
        <v>0</v>
      </c>
      <c r="H81" s="66">
        <f>TableQCalcMain[[#This Row],[ShowDesc?]]*TableQCalcMain[[#This Row],[Hardware]]</f>
        <v>0</v>
      </c>
      <c r="I81" s="66" t="str">
        <f>WinFOLIA!D25 &amp; REPT(" ",0)</f>
        <v>18" x 24" PICK* Incl. 1 White, 1 Blue Leaf Press &amp; Calibration Targets</v>
      </c>
      <c r="J81" s="66">
        <f>WinFOLIA!$I$24</f>
        <v>900691</v>
      </c>
      <c r="K81" s="66" t="str">
        <f>""</f>
        <v/>
      </c>
      <c r="L81" s="66">
        <f>ROUND(
IF(Distributeurs_Rabais,WinFOLIA!#REF!,WinFOLIA!G25),
2)</f>
        <v>428</v>
      </c>
      <c r="M81" s="66" t="str">
        <f>IFERROR(
IF(TableQCalcMain[[#This Row],[Unit_Price]]*TableQCalcMain[[#This Row],[Real_Quantity]]&gt;0,
TableQCalcMain[[#This Row],[Unit_Price]]*TableQCalcMain[[#This Row],[Real_Quantity]],""),"")</f>
        <v/>
      </c>
      <c r="N81" s="613"/>
      <c r="O81" s="614"/>
      <c r="P81" s="614"/>
      <c r="Q81" s="614"/>
      <c r="R81" s="614"/>
      <c r="S81" s="614"/>
      <c r="T81" s="613"/>
      <c r="U81" s="614"/>
      <c r="V81" s="614"/>
      <c r="W81" s="614"/>
      <c r="X81" s="614"/>
      <c r="Y81" s="614"/>
      <c r="Z81" s="614"/>
      <c r="AA81" s="614"/>
      <c r="AB81" s="614"/>
      <c r="AC81" s="614"/>
      <c r="AD81" s="614"/>
      <c r="AE81" s="614"/>
      <c r="AF81" s="614"/>
      <c r="AG81" s="614"/>
      <c r="AH81" s="614"/>
    </row>
    <row r="82" spans="2:34" x14ac:dyDescent="0.2">
      <c r="B82" s="66" t="s">
        <v>220</v>
      </c>
      <c r="C82" s="66">
        <f>IF(TableQCalcMain[[#This Row],[Unit_Price]]&gt;0,TableQCalcMain[[#This Row],[ShowDesc?]],0)</f>
        <v>0</v>
      </c>
      <c r="D82" s="66">
        <f>IF(TableQCalcMain[[#This Row],[Unit_Price]]&gt;0,FOLIA_Option4-1,0)</f>
        <v>0</v>
      </c>
      <c r="E82" s="66"/>
      <c r="F82" s="66">
        <v>1</v>
      </c>
      <c r="G82" s="66">
        <f>TableQCalcMain[[#This Row],[ShowDesc?]]*TableQCalcMain[[#This Row],[Software]]</f>
        <v>0</v>
      </c>
      <c r="H82" s="66">
        <f>TableQCalcMain[[#This Row],[ShowDesc?]]*TableQCalcMain[[#This Row],[Hardware]]</f>
        <v>0</v>
      </c>
      <c r="I82" s="66" t="str">
        <f>WinFOLIA!D26 &amp; IF(Francais, " (pour scanner"," (for")&amp;IF(FOLIA_IndexScanner=1," STD4800","")&amp;IF(FOLIA_IndexScanner=2," LA2400","")&amp;IF(FOLIA_IndexScanner=3," LC4800","") &amp; IF(Francais, ")"," scanner)") &amp; REPT(" ",3)</f>
        <v xml:space="preserve">Blue Background for Color Analysis (for STD4800 scanner)   </v>
      </c>
      <c r="J82" s="66">
        <f>WinFOLIA!$I$24</f>
        <v>900691</v>
      </c>
      <c r="K82" s="66" t="str">
        <f>""</f>
        <v/>
      </c>
      <c r="L82" s="66">
        <f>ROUND(
IF(Distributeurs_Rabais,WinFOLIA!#REF!,WinFOLIA!G26),
2)</f>
        <v>26</v>
      </c>
      <c r="M82" s="66" t="str">
        <f>IFERROR(
IF(TableQCalcMain[[#This Row],[Unit_Price]]*TableQCalcMain[[#This Row],[Real_Quantity]]&gt;0,
TableQCalcMain[[#This Row],[Unit_Price]]*TableQCalcMain[[#This Row],[Real_Quantity]],""),"")</f>
        <v/>
      </c>
      <c r="N82" s="613"/>
      <c r="O82" s="614"/>
      <c r="P82" s="614"/>
      <c r="Q82" s="614"/>
      <c r="R82" s="614"/>
      <c r="S82" s="614"/>
      <c r="T82" s="613"/>
      <c r="U82" s="614"/>
      <c r="V82" s="614"/>
      <c r="W82" s="614"/>
      <c r="X82" s="614"/>
      <c r="Y82" s="614"/>
      <c r="Z82" s="614"/>
      <c r="AA82" s="614"/>
      <c r="AB82" s="614"/>
      <c r="AC82" s="614"/>
      <c r="AD82" s="614"/>
      <c r="AE82" s="614"/>
      <c r="AF82" s="614"/>
      <c r="AG82" s="614"/>
      <c r="AH82" s="614"/>
    </row>
    <row r="83" spans="2:34" x14ac:dyDescent="0.2">
      <c r="B83" s="679" t="s">
        <v>112</v>
      </c>
      <c r="C83" s="679" t="str">
        <f>""</f>
        <v/>
      </c>
      <c r="D83" s="679" t="e">
        <f>SUM(D65:D82)</f>
        <v>#REF!</v>
      </c>
      <c r="E83" s="679">
        <v>1</v>
      </c>
      <c r="F83" s="679">
        <v>1</v>
      </c>
      <c r="G83" s="679">
        <f>SUM(G65:G82)</f>
        <v>0</v>
      </c>
      <c r="H83" s="679">
        <f>SUM(H65:H82)</f>
        <v>0</v>
      </c>
      <c r="I83" s="679" t="str">
        <f>REPT(" ",4)</f>
        <v xml:space="preserve">    </v>
      </c>
      <c r="J83" s="679" t="str">
        <f>""</f>
        <v/>
      </c>
      <c r="K83" s="679" t="str">
        <f>""</f>
        <v/>
      </c>
      <c r="L83" s="679" t="str">
        <f>""</f>
        <v/>
      </c>
      <c r="M83" s="679" t="str">
        <f>""</f>
        <v/>
      </c>
      <c r="N83" s="613"/>
      <c r="O83" s="614"/>
      <c r="P83" s="614"/>
      <c r="Q83" s="614"/>
      <c r="R83" s="614"/>
      <c r="S83" s="614"/>
      <c r="T83" s="613"/>
      <c r="U83" s="614"/>
      <c r="V83" s="614"/>
      <c r="W83" s="614"/>
      <c r="X83" s="614"/>
      <c r="Y83" s="614"/>
      <c r="Z83" s="614"/>
      <c r="AA83" s="614"/>
      <c r="AB83" s="614"/>
      <c r="AC83" s="614"/>
      <c r="AD83" s="614"/>
      <c r="AE83" s="614"/>
      <c r="AF83" s="614"/>
      <c r="AG83" s="614"/>
      <c r="AH83" s="614"/>
    </row>
    <row r="84" spans="2:34" x14ac:dyDescent="0.2">
      <c r="B84" s="66" t="s">
        <v>75</v>
      </c>
      <c r="C84" s="66">
        <f>SEEDLE_N_System-1</f>
        <v>0</v>
      </c>
      <c r="D84" s="66">
        <f>IF(IFERROR(WinSEEDLE!$H$14+0,0)&gt;0,SEEDLE_N_System-1,0)</f>
        <v>0</v>
      </c>
      <c r="E84" s="66"/>
      <c r="F84" s="66"/>
      <c r="G84" s="66">
        <v>0</v>
      </c>
      <c r="H84" s="66">
        <v>0</v>
      </c>
      <c r="I84" s="66" t="str">
        <f>WinSEEDLE!E2 &amp; IF(Francais," Incluant:"," Including:")&amp; REPT(" ",3)</f>
        <v xml:space="preserve">WinSEEDLE™ Reg 2025 Software With Scanner Including:   </v>
      </c>
      <c r="J84" s="66">
        <f>WinSEEDLE!I14</f>
        <v>903149</v>
      </c>
      <c r="K84" s="66" t="e">
        <f>TableQCalcMain[[#This Row],[Extended_price]]</f>
        <v>#REF!</v>
      </c>
      <c r="L84" s="66" t="e">
        <f>IF(OR(TableQCalcMain[[#This Row],[Real_Quantity]]=0,TableQCalcMain[[#This Row],[Extended_price]]=0),"",ROUND(TableQCalcMain[[#This Row],[Extended_price]]/TableQCalcMain[[#This Row],[Real_Quantity]],2))</f>
        <v>#REF!</v>
      </c>
      <c r="M84" s="712" t="e">
        <f>ROUND(
IF(Distributeurs_Rabais,
WinSEEDLE!#REF! + WinSEEDLE!#REF!,
WinSEEDLE!H11 + WinSEEDLE!H14)+K86,
2)</f>
        <v>#REF!</v>
      </c>
      <c r="N84" s="613"/>
      <c r="O84" s="614"/>
      <c r="P84" s="614"/>
      <c r="Q84" s="614"/>
      <c r="R84" s="614"/>
      <c r="S84" s="614"/>
      <c r="T84" s="613"/>
      <c r="U84" s="614"/>
      <c r="V84" s="614"/>
      <c r="W84" s="614"/>
      <c r="X84" s="614"/>
      <c r="Y84" s="614"/>
      <c r="Z84" s="614"/>
      <c r="AA84" s="614"/>
      <c r="AB84" s="614"/>
      <c r="AC84" s="614"/>
      <c r="AD84" s="614"/>
      <c r="AE84" s="614"/>
      <c r="AF84" s="614"/>
      <c r="AG84" s="614"/>
      <c r="AH84" s="614"/>
    </row>
    <row r="85" spans="2:34" x14ac:dyDescent="0.2">
      <c r="B85" s="687" t="s">
        <v>76</v>
      </c>
      <c r="C85" s="688">
        <f>IF(AND(NOT(QUOTE_Split_SoftwareHardware),N(D84)&gt;0),
IF(SEEDLE_N_Software-1=0,0,""),
SEEDLE_N_Software-1)</f>
        <v>0</v>
      </c>
      <c r="D85" s="66">
        <f>TableQCalcMain[[#This Row],[Real_Quantity]]</f>
        <v>0</v>
      </c>
      <c r="E85" s="66">
        <v>1</v>
      </c>
      <c r="F85" s="66"/>
      <c r="G85" s="66">
        <f>N(TableQCalcMain[[#This Row],[ShowDesc?]])*TableQCalcMain[[#This Row],[Software]]</f>
        <v>0</v>
      </c>
      <c r="H85" s="66">
        <f>N(TableQCalcMain[[#This Row],[ShowDesc?]])*TableQCalcMain[[#This Row],[Hardware]]</f>
        <v>0</v>
      </c>
      <c r="I85" s="66" t="str">
        <f>IF(OR(SEEDLE_N_System=1,QUOTE_Split_SoftwareHardware),"","   • ") &amp; SUBSTITUTE(LEFT(INDEX(SEEDLE_SoftwareFullNames,SEEDLE_IndexSoftware),FIND(" ",INDEX(SEEDLE_SoftwareFullNames,SEEDLE_IndexSoftware),FIND(" ",INDEX(SEEDLE_SoftwareFullNames,SEEDLE_IndexSoftware))+1)),"™",IF(OR(SEEDLE_N_System=1,QUOTE_Split_SoftwareHardware),"™",""))&amp;
SEEDLE_YearMostRecent &amp; " " &amp; "&amp;" &amp; " XLSeedle"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IF(AND(QUOTE_SameClient=TRUE,SEEDLE_N_Software+SEEDLE_N_AlreadyHaveSoftware&gt;3),IF(Francais," (incl. rabais multi licenses"," (incl. multi licenses discount")&amp;
" "&amp;TEXT(ROUND((INDEX(SEEDLE_SoftwarePriceList,SEEDLE_IndexSoftware))*((SEEDLE_N_Software-1)-IF(SEEDLE_N_Software-1=0,0,SUM(MMULT(
  _xlfn.MUNIT(
   SEEDLE_N_Software-1),
    INDEX(TableLists[Column10],SEEDLE_N_AlreadyHaveSoftware-1+2):
    INDEX(TableLists[Column10],(SEEDLE_N_AlreadyHaveSoftware-1+1)+(SEEDLE_N_Software-1))
))))*(1-RebateSoftware*Distributeurs_Rabais),0),"0.00")&amp;")","")</f>
        <v>WinSEEDLE™ Reg 2025 &amp; XLSeedle Software on USB drive (PDF &amp; printed manuals)</v>
      </c>
      <c r="J85" s="66">
        <f>IF(AND(SEEDLE_N_System&gt;1,NOT(QUOTE_Split_SoftwareHardware)),
"",WinSEEDLE!I11)</f>
        <v>852349</v>
      </c>
      <c r="K85" s="66">
        <f>ROUND((INDEX(SEEDLE_SoftwarePriceList,SEEDLE_IndexSoftware))*
IF(SEEDLE_N_Software-1=0,0,SUM(MMULT(
  _xlfn.MUNIT(
   SEEDLE_N_Software-1),
    INDEX(TableLists[Column10],SEEDLE_N_AlreadyHaveSoftware-1+2):
    INDEX(TableLists[Column10],(SEEDLE_N_AlreadyHaveSoftware-1+1)+(SEEDLE_N_Software-1))
)))*(1-RebateSoftware*Distributeurs_Rabais)
-IF(QUOTE_Split_SoftwareHardware,PrixUSBKey*(SEEDLE_N_Software-1),0),0)</f>
        <v>0</v>
      </c>
      <c r="L85" s="66" t="str">
        <f>IF(OR(TableQCalcMain[[#This Row],[Real_Quantity]]=0,TableQCalcMain[[#This Row],[Extended_price]]=0),"",ROUND(TableQCalcMain[[#This Row],[Extended_price]]/TableQCalcMain[[#This Row],[Real_Quantity]],2))</f>
        <v/>
      </c>
      <c r="M85" s="66">
        <f>ROUND(
IF(SEEDLE_N_System&gt;1,
IF(NOT(QUOTE_Split_SoftwareHardware),0,TableQCalcMain[[#This Row],[Detailed_Ext_Price]]),
(INDEX(SEEDLE_SoftwarePriceList,SEEDLE_IndexSoftware))*
IF(SEEDLE_N_Software-1=0,0,SUM(MMULT(
  _xlfn.MUNIT(
   SEEDLE_N_Software-1),
    INDEX(TableLists[Column10],SEEDLE_N_AlreadyHaveSoftware-1+2):
    INDEX(TableLists[Column10],(SEEDLE_N_AlreadyHaveSoftware-1+1)+(SEEDLE_N_Software-1))
))
)*(1-RebateSoftware*Distributeurs_Rabais)
-IF(QUOTE_Split_SoftwareHardware,PrixUSBKey*(SEEDLE_N_Software-1),0)),0)</f>
        <v>0</v>
      </c>
      <c r="N85" s="613"/>
      <c r="O85" s="614"/>
      <c r="P85" s="614"/>
      <c r="Q85" s="614"/>
      <c r="R85" s="614"/>
      <c r="S85" s="614"/>
      <c r="T85" s="613"/>
      <c r="U85" s="614"/>
      <c r="V85" s="614"/>
      <c r="W85" s="614"/>
      <c r="X85" s="614"/>
      <c r="Y85" s="614"/>
      <c r="Z85" s="614"/>
      <c r="AA85" s="614"/>
      <c r="AB85" s="614"/>
      <c r="AC85" s="614"/>
      <c r="AD85" s="614"/>
      <c r="AE85" s="614"/>
      <c r="AF85" s="614"/>
      <c r="AG85" s="614"/>
      <c r="AH85" s="614"/>
    </row>
    <row r="86" spans="2:34" x14ac:dyDescent="0.2">
      <c r="B86" s="710" t="s">
        <v>776</v>
      </c>
      <c r="C86" s="712" t="str">
        <f>""</f>
        <v/>
      </c>
      <c r="D86" s="712" t="e">
        <f>IF(AND(
C84&lt;&gt;0,C85=0,
NOT(QUOTE_Split_SoftwareHardware),
WinSEEDLE!#REF!&gt;0
),C95,0)+N("Si il y a un système sans software (update only) et que facture est pas split, afficher UpgradeUpdate en tant que Software dans système")</f>
        <v>#REF!</v>
      </c>
      <c r="E86" s="66"/>
      <c r="F86" s="66"/>
      <c r="G86" s="66"/>
      <c r="H86" s="66"/>
      <c r="I86" s="710" t="e">
        <f>"   • " &amp; I95</f>
        <v>#REF!</v>
      </c>
      <c r="J86" s="710">
        <f>J95</f>
        <v>852349</v>
      </c>
      <c r="K86" s="710" t="e">
        <f>IF(TableQCalcMain[[#This Row],[ShowDesc?]]=0,0,M95)</f>
        <v>#REF!</v>
      </c>
      <c r="L86" s="66"/>
      <c r="M86" s="66"/>
      <c r="N86" s="613"/>
      <c r="O86" s="614"/>
      <c r="P86" s="614"/>
      <c r="Q86" s="614"/>
      <c r="R86" s="614"/>
      <c r="S86" s="614"/>
      <c r="T86" s="613"/>
      <c r="U86" s="614"/>
      <c r="V86" s="614"/>
      <c r="W86" s="614"/>
      <c r="X86" s="614"/>
      <c r="Y86" s="614"/>
      <c r="Z86" s="614"/>
      <c r="AA86" s="614"/>
      <c r="AB86" s="614"/>
      <c r="AC86" s="614"/>
      <c r="AD86" s="614"/>
      <c r="AE86" s="614"/>
      <c r="AF86" s="614"/>
      <c r="AG86" s="614"/>
      <c r="AH86" s="614"/>
    </row>
    <row r="87" spans="2:34" x14ac:dyDescent="0.2">
      <c r="B87" s="608" t="s">
        <v>344</v>
      </c>
      <c r="C87" s="66" t="str">
        <f>""</f>
        <v/>
      </c>
      <c r="D87" s="66">
        <f>IF(QUOTE_Split_SoftwareHardware,N($C$85),0)</f>
        <v>0</v>
      </c>
      <c r="E87" s="66">
        <v>1</v>
      </c>
      <c r="F87" s="66"/>
      <c r="G87" s="66">
        <f>TableQCalcMain[[#This Row],[ShowDesc?]]*TableQCalcMain[[#This Row],[Software]]</f>
        <v>0</v>
      </c>
      <c r="H87" s="66"/>
      <c r="I87"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",10)</f>
        <v xml:space="preserve">         • Software &amp; Instructions documents (PDF &amp; printed)          </v>
      </c>
      <c r="J87" s="66" t="str">
        <f>""</f>
        <v/>
      </c>
      <c r="K87" s="66" t="str">
        <f>""</f>
        <v/>
      </c>
      <c r="L87" s="66" t="str">
        <f>""</f>
        <v/>
      </c>
      <c r="M87" s="66" t="str">
        <f>""</f>
        <v/>
      </c>
      <c r="N87" s="613"/>
      <c r="O87" s="614"/>
      <c r="P87" s="614"/>
      <c r="Q87" s="614"/>
      <c r="R87" s="614"/>
      <c r="S87" s="614"/>
      <c r="T87" s="613"/>
      <c r="U87" s="614"/>
      <c r="V87" s="614"/>
      <c r="W87" s="614"/>
      <c r="X87" s="614"/>
      <c r="Y87" s="614"/>
      <c r="Z87" s="614"/>
      <c r="AA87" s="614"/>
      <c r="AB87" s="614"/>
      <c r="AC87" s="614"/>
      <c r="AD87" s="614"/>
      <c r="AE87" s="614"/>
      <c r="AF87" s="614"/>
      <c r="AG87" s="614"/>
      <c r="AH87" s="614"/>
    </row>
    <row r="88" spans="2:34" x14ac:dyDescent="0.2">
      <c r="B88" s="66" t="s">
        <v>77</v>
      </c>
      <c r="C88" s="66">
        <f>SEEDLE_OptionXL*(SEEDLE_N_Software-1)</f>
        <v>0</v>
      </c>
      <c r="D88" s="66">
        <f>0*SEEDLE_OptionXL*(SEEDLE_N_Software-1)</f>
        <v>0</v>
      </c>
      <c r="E88" s="66">
        <v>1</v>
      </c>
      <c r="F88" s="66"/>
      <c r="G88" s="66">
        <f>TableQCalcMain[[#This Row],[ShowDesc?]]*TableQCalcMain[[#This Row],[Software]]</f>
        <v>0</v>
      </c>
      <c r="H88" s="66">
        <f>TableQCalcMain[[#This Row],[ShowDesc?]]*TableQCalcMain[[#This Row],[Hardware]]</f>
        <v>0</v>
      </c>
      <c r="I88" s="66" t="str">
        <f>IF(SEEDLE_N_System=1,"","   • ")&amp;IF(Francais,"XLSeedle Logiciel pour l'Analyse des données de WinSEEDLE","XLSeedle Software for WinSEEDLE's data Analysis")</f>
        <v>XLSeedle Software for WinSEEDLE's data Analysis</v>
      </c>
      <c r="J88" s="66" t="str">
        <f>""</f>
        <v/>
      </c>
      <c r="K88" s="66" t="s">
        <v>171</v>
      </c>
      <c r="L88" s="66" t="str">
        <f>""</f>
        <v/>
      </c>
      <c r="M88" s="66" t="str">
        <f>""</f>
        <v/>
      </c>
      <c r="N88" s="613"/>
      <c r="O88" s="614"/>
      <c r="P88" s="614"/>
      <c r="Q88" s="614"/>
      <c r="R88" s="614"/>
      <c r="S88" s="614"/>
      <c r="T88" s="613"/>
      <c r="U88" s="614"/>
      <c r="V88" s="614"/>
      <c r="W88" s="614"/>
      <c r="X88" s="614"/>
      <c r="Y88" s="614"/>
      <c r="Z88" s="614"/>
      <c r="AA88" s="614"/>
      <c r="AB88" s="614"/>
      <c r="AC88" s="614"/>
      <c r="AD88" s="614"/>
      <c r="AE88" s="614"/>
      <c r="AF88" s="614"/>
      <c r="AG88" s="614"/>
      <c r="AH88" s="614"/>
    </row>
    <row r="89" spans="2:34" x14ac:dyDescent="0.2">
      <c r="B89" s="66" t="s">
        <v>334</v>
      </c>
      <c r="C89" s="66">
        <f>N($C$85)+N($C$95)</f>
        <v>0</v>
      </c>
      <c r="D89" s="66">
        <f>IF(AND(QUOTE_Split_SoftwareHardware,TableQCalcMain[[#This Row],[Real_Quantity]]&gt;0),1,0)</f>
        <v>0</v>
      </c>
      <c r="E89" s="66">
        <f>IF(QUOTE_InternetDownload,0,1)</f>
        <v>1</v>
      </c>
      <c r="F89" s="66">
        <f>IF(QUOTE_InternetDownload,1,0)</f>
        <v>0</v>
      </c>
      <c r="G89" s="66">
        <f>TableQCalcMain[[#This Row],[ShowDesc?]]*TableQCalcMain[[#This Row],[Software]]</f>
        <v>0</v>
      </c>
      <c r="H89" s="66">
        <f>TableQCalcMain[[#This Row],[ShowDesc?]]*TableQCalcMain[[#This Row],[Hardware]]</f>
        <v>0</v>
      </c>
      <c r="I89"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WinSEEDLE</v>
      </c>
      <c r="J89" s="66">
        <v>852351</v>
      </c>
      <c r="K89" s="66">
        <f>TableQCalcMain[[#This Row],[Extended_price]]</f>
        <v>0</v>
      </c>
      <c r="L89" s="66" t="str">
        <f>IF(OR(TableQCalcMain[[#This Row],[Real_Quantity]]=0,TableQCalcMain[[#This Row],[Extended_price]]=0),"",ROUND(TableQCalcMain[[#This Row],[Extended_price]]/TableQCalcMain[[#This Row],[Real_Quantity]],2))</f>
        <v/>
      </c>
      <c r="M89" s="66">
        <f>PrixUSBKey*TableQCalcMain[[#This Row],[Real_Quantity]]</f>
        <v>0</v>
      </c>
      <c r="N89" s="613"/>
      <c r="O89" s="614"/>
      <c r="P89" s="614"/>
      <c r="Q89" s="614"/>
      <c r="R89" s="614"/>
      <c r="S89" s="614"/>
      <c r="T89" s="613"/>
      <c r="U89" s="614"/>
      <c r="V89" s="614"/>
      <c r="W89" s="614"/>
      <c r="X89" s="614"/>
      <c r="Y89" s="614"/>
      <c r="Z89" s="614"/>
      <c r="AA89" s="614"/>
      <c r="AB89" s="614"/>
      <c r="AC89" s="614"/>
      <c r="AD89" s="614"/>
      <c r="AE89" s="614"/>
      <c r="AF89" s="614"/>
      <c r="AG89" s="614"/>
      <c r="AH89" s="614"/>
    </row>
    <row r="90" spans="2:34" x14ac:dyDescent="0.2">
      <c r="B90" s="66" t="s">
        <v>101</v>
      </c>
      <c r="C90" s="66" t="str">
        <f>IF(NOT(QUOTE_Split_SoftwareHardware),"",C84)</f>
        <v/>
      </c>
      <c r="D90" s="66">
        <f>IF(SEEDLE_ClientWithOrWithoutScanner=1,$D$84,0)</f>
        <v>0</v>
      </c>
      <c r="E90" s="66"/>
      <c r="F90" s="66">
        <v>1</v>
      </c>
      <c r="G90" s="66">
        <f>TableQCalcMain[[#This Row],[ShowDesc?]]*TableQCalcMain[[#This Row],[Software]]</f>
        <v>0</v>
      </c>
      <c r="H90" s="66">
        <f>TableQCalcMain[[#This Row],[ShowDesc?]]*TableQCalcMain[[#This Row],[Hardware]]</f>
        <v>0</v>
      </c>
      <c r="I90" s="66" t="str">
        <f>IF(OR(SEEDLE_N_System=1,QUOTE_Split_SoftwareHardware),"","   • ") &amp; IF(SEEDLE_IndexScanner=1,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 &amp;REPT(" ",10) &amp; "S/N:"
&amp; SEEDLE_Serial &amp;REPT(" ",3)</f>
        <v xml:space="preserve"> STD4800 Scanner: 4800 dpi, Scan Area 22x30cm (20x25cm with SL)          S/N:   </v>
      </c>
      <c r="J90" s="66" t="str">
        <f>IF(QUOTE_Split_SoftwareHardware,ScannerHCode,"")</f>
        <v/>
      </c>
      <c r="K90" s="66">
        <f>IF(SEEDLE_ClientWithOrWithoutScanner=1,
   IF(Distributeurs_Rabais,
      IF(SEEDLE_IndexScanner=1,PrixSTD_Dist,IF(SEEDLE_IndexScanner=2,PrixLA_Dist,PrixLC_Dist)),
      IF(SEEDLE_IndexScanner=1,PrixSTD,          IF(SEEDLE_IndexScanner=2,PrixLA,          PrixLC))
    ),
0)
*(SEEDLE_N_System-1) -K93</f>
        <v>0</v>
      </c>
      <c r="L90" s="66">
        <f>IF(C84=0,0,ROUND(TableQCalcMain[[#This Row],[Extended_price]]/C84,2))</f>
        <v>0</v>
      </c>
      <c r="M90" s="66">
        <f>IF(NOT(QUOTE_Split_SoftwareHardware),0,TableQCalcMain[[#This Row],[Detailed_Ext_Price]]+N(K91)+K92)</f>
        <v>0</v>
      </c>
      <c r="N90" s="613"/>
      <c r="O90" s="614"/>
      <c r="P90" s="614"/>
      <c r="Q90" s="614"/>
      <c r="R90" s="614"/>
      <c r="S90" s="614"/>
      <c r="T90" s="613"/>
      <c r="U90" s="614"/>
      <c r="V90" s="614"/>
      <c r="W90" s="614"/>
      <c r="X90" s="614"/>
      <c r="Y90" s="614"/>
      <c r="Z90" s="614"/>
      <c r="AA90" s="614"/>
      <c r="AB90" s="614"/>
      <c r="AC90" s="614"/>
      <c r="AD90" s="614"/>
      <c r="AE90" s="614"/>
      <c r="AF90" s="614"/>
      <c r="AG90" s="614"/>
      <c r="AH90" s="614"/>
    </row>
    <row r="91" spans="2:34" ht="17" x14ac:dyDescent="0.2">
      <c r="B91" s="66" t="s">
        <v>102</v>
      </c>
      <c r="C91" s="591" t="str">
        <f>""</f>
        <v/>
      </c>
      <c r="D91" s="66">
        <f>IF(SEEDLE_ClientWithOrWithoutScanner=1,$D$84,0)</f>
        <v>0</v>
      </c>
      <c r="E91" s="66"/>
      <c r="F91" s="66">
        <v>1</v>
      </c>
      <c r="G91" s="66">
        <f>TableQCalcMain[[#This Row],[ShowDesc?]]*TableQCalcMain[[#This Row],[Software]]</f>
        <v>0</v>
      </c>
      <c r="H91" s="66">
        <f>TableQCalcMain[[#This Row],[ShowDesc?]]*TableQCalcMain[[#This Row],[Hardware]]</f>
        <v>0</v>
      </c>
      <c r="I91" s="66" t="str">
        <f>"         " &amp; WinSEEDLE!$D$16 &amp; REPT(" ",2)&amp;REPT(" ",20) &amp; "S/N:" &amp;SEEDLE_SerialTPU</f>
        <v xml:space="preserve">                               S/N:</v>
      </c>
      <c r="J91" s="66" t="str">
        <f>""</f>
        <v/>
      </c>
      <c r="K91" s="615" t="str">
        <f>IF(SEEDLE_IndexScanner=1,
"incl.",
IF(Distributeurs_Rabais,PrixTPU_Dist,PrixTPU)*(SEEDLE_N_System-1))</f>
        <v>incl.</v>
      </c>
      <c r="L91" s="66" t="str">
        <f>""</f>
        <v/>
      </c>
      <c r="M91" s="66" t="str">
        <f>""</f>
        <v/>
      </c>
      <c r="N91" s="613"/>
      <c r="O91" s="614"/>
      <c r="P91" s="614"/>
      <c r="Q91" s="614"/>
      <c r="R91" s="614"/>
      <c r="S91" s="614"/>
      <c r="T91" s="613"/>
      <c r="U91" s="614"/>
      <c r="V91" s="614"/>
      <c r="W91" s="614"/>
      <c r="X91" s="614"/>
      <c r="Y91" s="614"/>
      <c r="Z91" s="614"/>
      <c r="AA91" s="614"/>
      <c r="AB91" s="614"/>
      <c r="AC91" s="614"/>
      <c r="AD91" s="614"/>
      <c r="AE91" s="614"/>
      <c r="AF91" s="614"/>
      <c r="AG91" s="614"/>
      <c r="AH91" s="614"/>
    </row>
    <row r="92" spans="2:34" ht="17" x14ac:dyDescent="0.2">
      <c r="B92" s="66" t="s">
        <v>350</v>
      </c>
      <c r="C92" s="591" t="str">
        <f>IF(AND(QUOTE_Split_SoftwareHardware,SEEDLE_PosiOrBlueBG_Checkbox,NOT(SEEDLE_ClientWithOrWithoutScanner_ChkBox)),$C$84,"")</f>
        <v/>
      </c>
      <c r="D92" s="66">
        <f>IF(SEEDLE_PosiOrBlueBG_Checkbox,D84,0)</f>
        <v>0</v>
      </c>
      <c r="E92" s="66"/>
      <c r="F92" s="66">
        <v>1</v>
      </c>
      <c r="G92" s="66">
        <f>TableQCalcMain[[#This Row],[ShowDesc?]]*TableQCalcMain[[#This Row],[Software]]</f>
        <v>0</v>
      </c>
      <c r="H92" s="66">
        <f>TableQCalcMain[[#This Row],[ShowDesc?]]*TableQCalcMain[[#This Row],[Hardware]]</f>
        <v>0</v>
      </c>
      <c r="I92" s="66" t="str">
        <f>SUBSTITUTE("         " &amp; WinSEEDLE!D21,
"         • ",
IF(AND(QUOTE_Split_SoftwareHardware,NOT(SEEDLE_ClientWithOrWithoutScanner_ChkBox)),"","         • "))</f>
        <v xml:space="preserve">         • No Seeds &amp; Needles Positioning System included</v>
      </c>
      <c r="J92" s="66" t="str">
        <f>IF(QUOTE_Split_SoftwareHardware,847330,"")</f>
        <v/>
      </c>
      <c r="K92" s="66">
        <f>ROUND(IF(SEEDLE_IndexScanner=1,PrixRootPosiSTD,PrixRootPosiLA)*(SEEDLE_PosiOrBlueBG_Checkbox)*(SEEDLE_N_System-1)*(1-RebateHardware*Distributeurs_Rabais),0)</f>
        <v>0</v>
      </c>
      <c r="L92" s="66">
        <f>IF(AND(QUOTE_Split_SoftwareHardware,SEEDLE_PosiOrBlueBG_Checkbox,NOT(SEEDLE_ClientWithOrWithoutScanner_ChkBox)),TableQCalcMain[[#This Row],[Detailed_Ext_Price]]/TableQCalcMain[[#This Row],[ShowDesc?]],0)</f>
        <v>0</v>
      </c>
      <c r="M92" s="66">
        <f>IF(AND(QUOTE_Split_SoftwareHardware,SEEDLE_PosiOrBlueBG_Checkbox,NOT(SEEDLE_ClientWithOrWithoutScanner_ChkBox)),TableQCalcMain[[#This Row],[Detailed_Ext_Price]],0)</f>
        <v>0</v>
      </c>
      <c r="N92" s="613"/>
      <c r="O92" s="614"/>
      <c r="P92" s="614"/>
      <c r="Q92" s="614"/>
      <c r="R92" s="614"/>
      <c r="S92" s="614"/>
      <c r="T92" s="613"/>
      <c r="U92" s="614"/>
      <c r="V92" s="614"/>
      <c r="W92" s="614"/>
      <c r="X92" s="614"/>
      <c r="Y92" s="614"/>
      <c r="Z92" s="614"/>
      <c r="AA92" s="614"/>
      <c r="AB92" s="614"/>
      <c r="AC92" s="614"/>
      <c r="AD92" s="614"/>
      <c r="AE92" s="614"/>
      <c r="AF92" s="614"/>
      <c r="AG92" s="614"/>
      <c r="AH92" s="614"/>
    </row>
    <row r="93" spans="2:34" x14ac:dyDescent="0.2">
      <c r="B93" s="717" t="s">
        <v>360</v>
      </c>
      <c r="C93" s="717" t="str">
        <f>IF(AND((QUOTE_Split_SoftwareHardware),N(C85)=0),$C$84,
IF(AND(QUOTE_Split_SoftwareHardware,NOT(SEEDLE_ClientWithOrWithoutScanner_ChkBox)),$C$84,"")
)</f>
        <v/>
      </c>
      <c r="D93" s="717">
        <f>IF(AND((QUOTE_Split_SoftwareHardware),AND(NOT(SuperUser),N(D85)=0)),0,D84)</f>
        <v>0</v>
      </c>
      <c r="E93" s="681">
        <v>1</v>
      </c>
      <c r="F93" s="681">
        <v>0</v>
      </c>
      <c r="G93" s="681">
        <f>TableQCalcMain[[#This Row],[ShowDesc?]]*TableQCalcMain[[#This Row],[Software]]</f>
        <v>0</v>
      </c>
      <c r="H93" s="681">
        <f>TableQCalcMain[[#This Row],[ShowDesc?]]*TableQCalcMain[[#This Row],[Hardware]]</f>
        <v>0</v>
      </c>
      <c r="I93" s="717" t="str">
        <f>IF(AND((QUOTE_Split_SoftwareHardware),N(C85)=0),"","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Scanner Calibration, Instructions, Video tutorial, TWAIN driver &amp; Technical support   </v>
      </c>
      <c r="J93" s="681" t="str">
        <f>""</f>
        <v/>
      </c>
      <c r="K93" s="681">
        <f>ROUND((IF(SEEDLE_IndexScanner=1,STD_GenCalib_Drivers_Instr_Techsup,LA_GenCalib_Drivers_Instr_Techsup))*(SEEDLE_N_System-1)*(1-RebateCalibScanner*Distributeurs_Rabais),0)</f>
        <v>0</v>
      </c>
      <c r="L93" s="681" t="str">
        <f>IF(QUOTE_Split_SoftwareHardware,TableQCalcMain[[#This Row],[Detailed_Ext_Price]]/TableQCalcMain[[#This Row],[ShowDesc?]],"")</f>
        <v/>
      </c>
      <c r="M93" s="681">
        <f>IF(QUOTE_Split_SoftwareHardware,TableQCalcMain[[#This Row],[Detailed_Ext_Price]],0)</f>
        <v>0</v>
      </c>
      <c r="N93" s="613"/>
      <c r="O93" s="614"/>
      <c r="P93" s="614"/>
      <c r="Q93" s="614"/>
      <c r="R93" s="614"/>
      <c r="S93" s="614"/>
      <c r="T93" s="613"/>
      <c r="U93" s="614"/>
      <c r="V93" s="614"/>
      <c r="W93" s="614"/>
      <c r="X93" s="614"/>
      <c r="Y93" s="614"/>
      <c r="Z93" s="614"/>
      <c r="AA93" s="614"/>
      <c r="AB93" s="614"/>
      <c r="AC93" s="614"/>
      <c r="AD93" s="614"/>
      <c r="AE93" s="614"/>
      <c r="AF93" s="614"/>
      <c r="AG93" s="614"/>
      <c r="AH93" s="614"/>
    </row>
    <row r="94" spans="2:34" x14ac:dyDescent="0.2">
      <c r="B94" s="66" t="s">
        <v>355</v>
      </c>
      <c r="C94" s="591"/>
      <c r="D94" s="66"/>
      <c r="E94" s="66"/>
      <c r="F94" s="66"/>
      <c r="G94" s="66"/>
      <c r="H94" s="66"/>
      <c r="I94" s="66"/>
      <c r="J94" s="66" t="str">
        <f>""</f>
        <v/>
      </c>
      <c r="K94" s="66" t="str">
        <f>""</f>
        <v/>
      </c>
      <c r="L94" s="66" t="str">
        <f>""</f>
        <v/>
      </c>
      <c r="M94" s="66" t="str">
        <f>""</f>
        <v/>
      </c>
      <c r="N94" s="613"/>
      <c r="O94" s="614"/>
      <c r="P94" s="614"/>
      <c r="Q94" s="614"/>
      <c r="R94" s="614"/>
      <c r="S94" s="614"/>
      <c r="T94" s="613"/>
      <c r="U94" s="614"/>
      <c r="V94" s="614"/>
      <c r="W94" s="614"/>
      <c r="X94" s="614"/>
      <c r="Y94" s="614"/>
      <c r="Z94" s="614"/>
      <c r="AA94" s="614"/>
      <c r="AB94" s="614"/>
      <c r="AC94" s="614"/>
      <c r="AD94" s="614"/>
      <c r="AE94" s="614"/>
      <c r="AF94" s="614"/>
      <c r="AG94" s="614"/>
      <c r="AH94" s="614"/>
    </row>
    <row r="95" spans="2:34" x14ac:dyDescent="0.2">
      <c r="B95" s="607" t="s">
        <v>78</v>
      </c>
      <c r="C95" s="66">
        <f>SEEDLE_N_UpgradeUpdate-1</f>
        <v>0</v>
      </c>
      <c r="D95" s="712">
        <f>IFERROR(IF(AND(D86=0,OR(WinSEEDLE!#REF!&gt;0,WinSEEDLE!#REF!&gt;0)),SEEDLE_N_UpgradeUpdate-1,0),0)</f>
        <v>0</v>
      </c>
      <c r="E95" s="66">
        <v>1</v>
      </c>
      <c r="F95" s="66"/>
      <c r="G95" s="66">
        <f>TableQCalcMain[[#This Row],[ShowDesc?]]*TableQCalcMain[[#This Row],[Software]]</f>
        <v>0</v>
      </c>
      <c r="H95" s="66">
        <f>TableQCalcMain[[#This Row],[ShowDesc?]]*TableQCalcMain[[#This Row],[Hardware]]</f>
        <v>0</v>
      </c>
      <c r="I95" s="607" t="e">
        <f>IF(Francais,"Mise à jour de ","Update from ") &amp;
SUBSTITUTE(TRIM(INDEX(SEEDLE_SoftwareList,SEEDLE_IndexClientVersion))," "," " &amp; SEEDLE_YearClient &amp; " ",1) &amp;
IF(Francais," à "," to ") &amp;
SUBSTITUTE(TRIM(INDEX(SEEDLE_SoftwareList,SEEDLE_IndexSoftware))," "," " &amp; SEEDLE_YearMostRecent &amp; " ",1) &amp; " " &amp; "&amp;" &amp; " XLSeedle"
&amp;
IF(QUOTE_Split_SoftwareHardware,IF(QUOTE_InternetDownload,IF(Francais, ", Téléchargement Internet", ", Internet download"),IF(Francais, ", Envoyé par transporteur", ", Shipped by courier")),IF(Francais," sur media USB (manuels PDF &amp; imprimés)"," on USB drive (PDF &amp; printed manuals)"))</f>
        <v>#REF!</v>
      </c>
      <c r="J95" s="66">
        <f>IF(SEEDLE_N_System&gt;1,
"",WinSEEDLE!I11)</f>
        <v>852349</v>
      </c>
      <c r="K95" s="66" t="str">
        <f>""</f>
        <v/>
      </c>
      <c r="L95" s="66" t="e">
        <f>ROUND(TableQCalcMain[[#This Row],[Extended_price]]/TableQCalcMain[[#This Row],[Real_Quantity]],2)</f>
        <v>#REF!</v>
      </c>
      <c r="M95" s="66" t="e">
        <f>ROUND(IF(Distributeurs_Rabais,WinSEEDLE!#REF!,WinSEEDLE!#REF!)
-IF(QUOTE_Split_SoftwareHardware,PrixUSBKey*(SEEDLE_N_UpgradeUpdate-1),0),2)</f>
        <v>#REF!</v>
      </c>
      <c r="N95" s="613"/>
      <c r="O95" s="614"/>
      <c r="P95" s="614"/>
      <c r="Q95" s="614"/>
      <c r="R95" s="614"/>
      <c r="S95" s="614"/>
      <c r="T95" s="613"/>
      <c r="U95" s="614"/>
      <c r="V95" s="614"/>
      <c r="W95" s="614"/>
      <c r="X95" s="614"/>
      <c r="Y95" s="614"/>
      <c r="Z95" s="614"/>
      <c r="AA95" s="614"/>
      <c r="AB95" s="614"/>
      <c r="AC95" s="614"/>
      <c r="AD95" s="614"/>
      <c r="AE95" s="614"/>
      <c r="AF95" s="614"/>
      <c r="AG95" s="614"/>
      <c r="AH95" s="614"/>
    </row>
    <row r="96" spans="2:34" x14ac:dyDescent="0.2">
      <c r="B96" s="608" t="s">
        <v>344</v>
      </c>
      <c r="C96" s="66" t="str">
        <f>""</f>
        <v/>
      </c>
      <c r="D96" s="66">
        <f>IF(QUOTE_Split_SoftwareHardware,N($C$95),0)</f>
        <v>0</v>
      </c>
      <c r="E96" s="66">
        <v>1</v>
      </c>
      <c r="F96" s="66"/>
      <c r="G96" s="66">
        <f>TableQCalcMain[[#This Row],[ShowDesc?]]*TableQCalcMain[[#This Row],[Software]]</f>
        <v>0</v>
      </c>
      <c r="H96" s="66"/>
      <c r="I96"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",11)</f>
        <v xml:space="preserve">         • Software &amp; Instructions documents (PDF &amp; printed)           </v>
      </c>
      <c r="J96" s="66" t="str">
        <f>""</f>
        <v/>
      </c>
      <c r="K96" s="66" t="str">
        <f>""</f>
        <v/>
      </c>
      <c r="L96" s="66" t="str">
        <f>""</f>
        <v/>
      </c>
      <c r="M96" s="66" t="str">
        <f>""</f>
        <v/>
      </c>
      <c r="N96" s="613"/>
      <c r="O96" s="614"/>
      <c r="P96" s="614"/>
      <c r="Q96" s="614"/>
      <c r="R96" s="614"/>
      <c r="S96" s="614"/>
      <c r="T96" s="613"/>
      <c r="U96" s="614"/>
      <c r="V96" s="614"/>
      <c r="W96" s="614"/>
      <c r="X96" s="614"/>
      <c r="Y96" s="614"/>
      <c r="Z96" s="614"/>
      <c r="AA96" s="614"/>
      <c r="AB96" s="614"/>
      <c r="AC96" s="614"/>
      <c r="AD96" s="614"/>
      <c r="AE96" s="614"/>
      <c r="AF96" s="614"/>
      <c r="AG96" s="614"/>
      <c r="AH96" s="614"/>
    </row>
    <row r="97" spans="2:34" x14ac:dyDescent="0.2">
      <c r="B97" s="681" t="str">
        <f>B93&amp;"Upd"</f>
        <v>SEEDLE System Calib ManualUpd</v>
      </c>
      <c r="C97" s="681" t="str">
        <f>""</f>
        <v/>
      </c>
      <c r="D97" s="681">
        <f>IF(AND(D84&gt;0,D85=0),D89,0)</f>
        <v>0</v>
      </c>
      <c r="E97" s="681">
        <v>1</v>
      </c>
      <c r="F97" s="681">
        <v>0</v>
      </c>
      <c r="G97" s="681">
        <f>TableQCalcMain[[#This Row],[ShowDesc?]]*TableQCalcMain[[#This Row],[Software]]</f>
        <v>0</v>
      </c>
      <c r="H97" s="681">
        <f>TableQCalcMain[[#This Row],[ShowDesc?]]*TableQCalcMain[[#This Row],[Hardware]]</f>
        <v>0</v>
      </c>
      <c r="I97"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Scanner Calibration, Instructions, Video tutorial, TWAIN driver &amp; Technical support        </v>
      </c>
      <c r="J97" s="681" t="str">
        <f>J93</f>
        <v/>
      </c>
      <c r="K97" s="681">
        <f t="shared" ref="K97:M97" si="3">K93</f>
        <v>0</v>
      </c>
      <c r="L97" s="681" t="str">
        <f>IF(QUOTE_Split_SoftwareHardware,TableQCalcMain[[#This Row],[Detailed_Ext_Price]]/TableQCalcMain[[#This Row],[ShowDesc?]],"")</f>
        <v/>
      </c>
      <c r="M97" s="681">
        <f t="shared" si="3"/>
        <v>0</v>
      </c>
      <c r="N97" s="613"/>
      <c r="O97" s="614"/>
      <c r="P97" s="614"/>
      <c r="Q97" s="614"/>
      <c r="R97" s="614"/>
      <c r="S97" s="614"/>
      <c r="T97" s="613"/>
      <c r="U97" s="614"/>
      <c r="V97" s="614"/>
      <c r="W97" s="614"/>
      <c r="X97" s="614"/>
      <c r="Y97" s="614"/>
      <c r="Z97" s="614"/>
      <c r="AA97" s="614"/>
      <c r="AB97" s="614"/>
      <c r="AC97" s="614"/>
      <c r="AD97" s="614"/>
      <c r="AE97" s="614"/>
      <c r="AF97" s="614"/>
      <c r="AG97" s="614"/>
      <c r="AH97" s="614"/>
    </row>
    <row r="98" spans="2:34" ht="17" x14ac:dyDescent="0.2">
      <c r="B98" s="66" t="s">
        <v>79</v>
      </c>
      <c r="C98" s="66">
        <f>IF(TableQCalcMain[[#This Row],[Unit_Price]]&gt;0,TableQCalcMain[[#This Row],[ShowDesc?]],0)</f>
        <v>0</v>
      </c>
      <c r="D98" s="66">
        <f>IF(TableQCalcMain[[#This Row],[Unit_Price]]&gt;0,SEEDLE_Option1-1,0)</f>
        <v>0</v>
      </c>
      <c r="E98" s="66"/>
      <c r="F98" s="66">
        <v>1</v>
      </c>
      <c r="G98" s="66">
        <f>TableQCalcMain[[#This Row],[ShowDesc?]]*TableQCalcMain[[#This Row],[Software]]</f>
        <v>0</v>
      </c>
      <c r="H98" s="66">
        <f>TableQCalcMain[[#This Row],[ShowDesc?]]*TableQCalcMain[[#This Row],[Hardware]]</f>
        <v>0</v>
      </c>
      <c r="I98" s="66" t="str">
        <f>LEFT(WinSEEDLE!D24,SEARCH(" cm",WinSEEDLE!D24)+2) &amp; REPT(" ",1) &amp;TextTrayWarranty</f>
        <v>Set of 2 Small trays                                   15x20, 20x25 cm . Warranty 30 days, must inspect at reception</v>
      </c>
      <c r="J98" s="66">
        <f>WinSEEDLE!$I$22</f>
        <v>847330</v>
      </c>
      <c r="K98" s="66" t="str">
        <f>""</f>
        <v/>
      </c>
      <c r="L98" s="66">
        <f>ROUND(
IF(Distributeurs_Rabais,WinSEEDLE!#REF!,WinSEEDLE!G24),
2)</f>
        <v>133</v>
      </c>
      <c r="M98" s="591" t="str">
        <f>IFERROR(
IF(TableQCalcMain[[#This Row],[Unit_Price]]*TableQCalcMain[[#This Row],[Real_Quantity]]&gt;0,
TableQCalcMain[[#This Row],[Unit_Price]]*TableQCalcMain[[#This Row],[Real_Quantity]],""),"")</f>
        <v/>
      </c>
      <c r="N98" s="613"/>
      <c r="O98" s="614"/>
      <c r="P98" s="614"/>
      <c r="Q98" s="614"/>
      <c r="R98" s="614"/>
      <c r="S98" s="614"/>
      <c r="T98" s="613"/>
      <c r="U98" s="614"/>
      <c r="V98" s="614"/>
      <c r="W98" s="614"/>
      <c r="X98" s="614"/>
      <c r="Y98" s="614"/>
      <c r="Z98" s="614"/>
      <c r="AA98" s="614"/>
      <c r="AB98" s="614"/>
      <c r="AC98" s="614"/>
      <c r="AD98" s="614"/>
      <c r="AE98" s="614"/>
      <c r="AF98" s="614"/>
      <c r="AG98" s="614"/>
      <c r="AH98" s="614"/>
    </row>
    <row r="99" spans="2:34" ht="17" x14ac:dyDescent="0.2">
      <c r="B99" s="66" t="s">
        <v>80</v>
      </c>
      <c r="C99" s="66">
        <f>IF(TableQCalcMain[[#This Row],[Unit_Price]]&gt;0,TableQCalcMain[[#This Row],[ShowDesc?]],0)</f>
        <v>0</v>
      </c>
      <c r="D99" s="66">
        <f>IF(TableQCalcMain[[#This Row],[Unit_Price]]&gt;0,SEEDLE_Option2-1,0)</f>
        <v>0</v>
      </c>
      <c r="E99" s="66"/>
      <c r="F99" s="66">
        <v>1</v>
      </c>
      <c r="G99" s="66">
        <f>TableQCalcMain[[#This Row],[ShowDesc?]]*TableQCalcMain[[#This Row],[Software]]</f>
        <v>0</v>
      </c>
      <c r="H99" s="66">
        <f>TableQCalcMain[[#This Row],[ShowDesc?]]*TableQCalcMain[[#This Row],[Hardware]]</f>
        <v>0</v>
      </c>
      <c r="I99" s="66" t="str">
        <f>LEFT(WinSEEDLE!D25,SEARCH(" cm",WinSEEDLE!D25)+2) &amp; REPT(" ",1)&amp;TextTrayWarranty</f>
        <v>Set of 3 Small trays                                   10x15, 15x20, 20x25 cm . Warranty 30 days, must inspect at reception</v>
      </c>
      <c r="J99" s="66">
        <f>WinSEEDLE!$I$22</f>
        <v>847330</v>
      </c>
      <c r="K99" s="66" t="str">
        <f>""</f>
        <v/>
      </c>
      <c r="L99" s="66">
        <f>ROUND(
IF(Distributeurs_Rabais,WinSEEDLE!#REF!,WinSEEDLE!G25),
2)</f>
        <v>195</v>
      </c>
      <c r="M99" s="591" t="str">
        <f>IFERROR(
IF(TableQCalcMain[[#This Row],[Unit_Price]]*TableQCalcMain[[#This Row],[Real_Quantity]]&gt;0,
TableQCalcMain[[#This Row],[Unit_Price]]*TableQCalcMain[[#This Row],[Real_Quantity]],""),"")</f>
        <v/>
      </c>
      <c r="N99" s="613"/>
      <c r="O99" s="614"/>
      <c r="P99" s="614"/>
      <c r="Q99" s="614"/>
      <c r="R99" s="614"/>
      <c r="S99" s="614"/>
      <c r="T99" s="613"/>
      <c r="U99" s="614"/>
      <c r="V99" s="614"/>
      <c r="W99" s="614"/>
      <c r="X99" s="614"/>
      <c r="Y99" s="614"/>
      <c r="Z99" s="614"/>
      <c r="AA99" s="614"/>
      <c r="AB99" s="614"/>
      <c r="AC99" s="614"/>
      <c r="AD99" s="614"/>
      <c r="AE99" s="614"/>
      <c r="AF99" s="614"/>
      <c r="AG99" s="614"/>
      <c r="AH99" s="614"/>
    </row>
    <row r="100" spans="2:34" ht="17" x14ac:dyDescent="0.2">
      <c r="B100" s="66" t="s">
        <v>81</v>
      </c>
      <c r="C100" s="66">
        <f>IF(TableQCalcMain[[#This Row],[Unit_Price]]&gt;0,TableQCalcMain[[#This Row],[ShowDesc?]],0)</f>
        <v>0</v>
      </c>
      <c r="D100" s="66">
        <f>IF(TableQCalcMain[[#This Row],[Unit_Price]]&gt;0,SEEDLE_Option3-1,0)</f>
        <v>0</v>
      </c>
      <c r="E100" s="66"/>
      <c r="F100" s="66">
        <v>1</v>
      </c>
      <c r="G100" s="66">
        <f>TableQCalcMain[[#This Row],[ShowDesc?]]*TableQCalcMain[[#This Row],[Software]]</f>
        <v>0</v>
      </c>
      <c r="H100" s="66">
        <f>TableQCalcMain[[#This Row],[ShowDesc?]]*TableQCalcMain[[#This Row],[Hardware]]</f>
        <v>0</v>
      </c>
      <c r="I100" s="66" t="str">
        <f>LEFT(WinSEEDLE!D26,SEARCH(" cm",WinSEEDLE!D26)+2) &amp; REPT(" ",1)&amp;TextTrayWarranty</f>
        <v>Individual Small tray                                10x15 cm . Warranty 30 days, must inspect at reception</v>
      </c>
      <c r="J100" s="66">
        <f>WinSEEDLE!$I$22</f>
        <v>847330</v>
      </c>
      <c r="K100" s="66" t="str">
        <f>""</f>
        <v/>
      </c>
      <c r="L100" s="66">
        <f>ROUND(
IF(Distributeurs_Rabais,WinSEEDLE!#REF!,WinSEEDLE!G26),
2)</f>
        <v>61</v>
      </c>
      <c r="M100" s="591" t="str">
        <f>IFERROR(
IF(TableQCalcMain[[#This Row],[Unit_Price]]*TableQCalcMain[[#This Row],[Real_Quantity]]&gt;0,
TableQCalcMain[[#This Row],[Unit_Price]]*TableQCalcMain[[#This Row],[Real_Quantity]],""),"")</f>
        <v/>
      </c>
      <c r="N100" s="613"/>
      <c r="O100" s="614"/>
      <c r="P100" s="614"/>
      <c r="Q100" s="614"/>
      <c r="R100" s="614"/>
      <c r="S100" s="614"/>
      <c r="T100" s="613"/>
      <c r="U100" s="614"/>
      <c r="V100" s="614"/>
      <c r="W100" s="614"/>
      <c r="X100" s="614"/>
      <c r="Y100" s="614"/>
      <c r="Z100" s="614"/>
      <c r="AA100" s="614"/>
      <c r="AB100" s="614"/>
      <c r="AC100" s="614"/>
      <c r="AD100" s="614"/>
      <c r="AE100" s="614"/>
      <c r="AF100" s="614"/>
      <c r="AG100" s="614"/>
      <c r="AH100" s="614"/>
    </row>
    <row r="101" spans="2:34" ht="17" x14ac:dyDescent="0.2">
      <c r="B101" s="66" t="s">
        <v>82</v>
      </c>
      <c r="C101" s="66">
        <f>IF(TableQCalcMain[[#This Row],[Unit_Price]]&gt;0,TableQCalcMain[[#This Row],[ShowDesc?]],0)</f>
        <v>0</v>
      </c>
      <c r="D101" s="66">
        <f>IF(TableQCalcMain[[#This Row],[Unit_Price]]&gt;0,SEEDLE_Option4-1,0)</f>
        <v>0</v>
      </c>
      <c r="E101" s="66"/>
      <c r="F101" s="66">
        <v>1</v>
      </c>
      <c r="G101" s="66">
        <f>TableQCalcMain[[#This Row],[ShowDesc?]]*TableQCalcMain[[#This Row],[Software]]</f>
        <v>0</v>
      </c>
      <c r="H101" s="66">
        <f>TableQCalcMain[[#This Row],[ShowDesc?]]*TableQCalcMain[[#This Row],[Hardware]]</f>
        <v>0</v>
      </c>
      <c r="I101" s="66" t="str">
        <f>LEFT(WinSEEDLE!D27,SEARCH(" cm",WinSEEDLE!D27)+2) &amp; REPT(" ",1)&amp;TextTrayWarranty</f>
        <v>Individual Small tray                                15x20 cm . Warranty 30 days, must inspect at reception</v>
      </c>
      <c r="J101" s="66">
        <f>WinSEEDLE!$I$22</f>
        <v>847330</v>
      </c>
      <c r="K101" s="66" t="str">
        <f>""</f>
        <v/>
      </c>
      <c r="L101" s="66">
        <f>ROUND(
IF(Distributeurs_Rabais,WinSEEDLE!#REF!,WinSEEDLE!G27),
2)</f>
        <v>67</v>
      </c>
      <c r="M101" s="591" t="str">
        <f>IFERROR(
IF(TableQCalcMain[[#This Row],[Unit_Price]]*TableQCalcMain[[#This Row],[Real_Quantity]]&gt;0,
TableQCalcMain[[#This Row],[Unit_Price]]*TableQCalcMain[[#This Row],[Real_Quantity]],""),"")</f>
        <v/>
      </c>
      <c r="N101" s="613"/>
      <c r="O101" s="614"/>
      <c r="P101" s="614"/>
      <c r="Q101" s="614"/>
      <c r="R101" s="614"/>
      <c r="S101" s="614"/>
      <c r="T101" s="613"/>
      <c r="U101" s="614"/>
      <c r="V101" s="614"/>
      <c r="W101" s="614"/>
      <c r="X101" s="614"/>
      <c r="Y101" s="614"/>
      <c r="Z101" s="614"/>
      <c r="AA101" s="614"/>
      <c r="AB101" s="614"/>
      <c r="AC101" s="614"/>
      <c r="AD101" s="614"/>
      <c r="AE101" s="614"/>
      <c r="AF101" s="614"/>
      <c r="AG101" s="614"/>
      <c r="AH101" s="614"/>
    </row>
    <row r="102" spans="2:34" ht="17" x14ac:dyDescent="0.2">
      <c r="B102" s="66" t="s">
        <v>228</v>
      </c>
      <c r="C102" s="66">
        <f>IF(TableQCalcMain[[#This Row],[Unit_Price]]&gt;0,TableQCalcMain[[#This Row],[ShowDesc?]],0)</f>
        <v>0</v>
      </c>
      <c r="D102" s="66">
        <f>IF(TableQCalcMain[[#This Row],[Unit_Price]]&gt;0,SEEDLE_Option5-1,0)</f>
        <v>0</v>
      </c>
      <c r="E102" s="66"/>
      <c r="F102" s="66">
        <v>1</v>
      </c>
      <c r="G102" s="66">
        <f>TableQCalcMain[[#This Row],[ShowDesc?]]*TableQCalcMain[[#This Row],[Software]]</f>
        <v>0</v>
      </c>
      <c r="H102" s="66">
        <f>TableQCalcMain[[#This Row],[ShowDesc?]]*TableQCalcMain[[#This Row],[Hardware]]</f>
        <v>0</v>
      </c>
      <c r="I102" s="66" t="str">
        <f>LEFT(WinSEEDLE!D28,SEARCH(" cm",WinSEEDLE!D28)+2) &amp; REPT(" ",1)&amp;TextTrayWarranty</f>
        <v>Individual Small tray                                20x25 cm . Warranty 30 days, must inspect at reception</v>
      </c>
      <c r="J102" s="66">
        <f>WinSEEDLE!$I$22</f>
        <v>847330</v>
      </c>
      <c r="K102" s="66" t="str">
        <f>""</f>
        <v/>
      </c>
      <c r="L102" s="66">
        <f>ROUND(
IF(Distributeurs_Rabais,WinSEEDLE!#REF!,WinSEEDLE!G28),
2)</f>
        <v>73</v>
      </c>
      <c r="M102" s="591" t="str">
        <f>IFERROR(
IF(TableQCalcMain[[#This Row],[Unit_Price]]*TableQCalcMain[[#This Row],[Real_Quantity]]&gt;0,
TableQCalcMain[[#This Row],[Unit_Price]]*TableQCalcMain[[#This Row],[Real_Quantity]],""),"")</f>
        <v/>
      </c>
      <c r="N102" s="613"/>
      <c r="O102" s="614"/>
      <c r="P102" s="614"/>
      <c r="Q102" s="614"/>
      <c r="R102" s="614"/>
      <c r="S102" s="614"/>
      <c r="T102" s="613"/>
      <c r="U102" s="614"/>
      <c r="V102" s="614"/>
      <c r="W102" s="614"/>
      <c r="X102" s="614"/>
      <c r="Y102" s="614"/>
      <c r="Z102" s="614"/>
      <c r="AA102" s="614"/>
      <c r="AB102" s="614"/>
      <c r="AC102" s="614"/>
      <c r="AD102" s="614"/>
      <c r="AE102" s="614"/>
      <c r="AF102" s="614"/>
      <c r="AG102" s="614"/>
      <c r="AH102" s="614"/>
    </row>
    <row r="103" spans="2:34" ht="17" x14ac:dyDescent="0.2">
      <c r="B103" s="66" t="s">
        <v>237</v>
      </c>
      <c r="C103" s="66">
        <f>IF(TableQCalcMain[[#This Row],[Unit_Price]]&gt;0,TableQCalcMain[[#This Row],[ShowDesc?]],0)</f>
        <v>0</v>
      </c>
      <c r="D103" s="66">
        <f>IF(TableQCalcMain[[#This Row],[Unit_Price]]&gt;0,SEEDLE_Option6-1,0)</f>
        <v>0</v>
      </c>
      <c r="E103" s="66"/>
      <c r="F103" s="66">
        <v>1</v>
      </c>
      <c r="G103" s="66">
        <f>TableQCalcMain[[#This Row],[ShowDesc?]]*TableQCalcMain[[#This Row],[Software]]</f>
        <v>0</v>
      </c>
      <c r="H103" s="66">
        <f>TableQCalcMain[[#This Row],[ShowDesc?]]*TableQCalcMain[[#This Row],[Hardware]]</f>
        <v>0</v>
      </c>
      <c r="I103" s="66" t="str">
        <f>LEFT(WinSEEDLE!D29,SEARCH(" cm",WinSEEDLE!D29)+2) &amp; REPT(" ",1)&amp;TextTrayWarranty</f>
        <v>Set of 2 Medium &amp; Large trays              25x35, 30x40 cm . Warranty 30 days, must inspect at reception</v>
      </c>
      <c r="J103" s="66">
        <f>WinSEEDLE!$I$22</f>
        <v>847330</v>
      </c>
      <c r="K103" s="66" t="str">
        <f>""</f>
        <v/>
      </c>
      <c r="L103" s="66">
        <f>ROUND(
IF(Distributeurs_Rabais,WinSEEDLE!#REF!,WinSEEDLE!G29),
2)</f>
        <v>0</v>
      </c>
      <c r="M103" s="591" t="str">
        <f>IFERROR(
IF(TableQCalcMain[[#This Row],[Unit_Price]]*TableQCalcMain[[#This Row],[Real_Quantity]]&gt;0,
TableQCalcMain[[#This Row],[Unit_Price]]*TableQCalcMain[[#This Row],[Real_Quantity]],""),"")</f>
        <v/>
      </c>
      <c r="N103" s="613"/>
      <c r="O103" s="614"/>
      <c r="P103" s="614"/>
      <c r="Q103" s="614"/>
      <c r="R103" s="614"/>
      <c r="S103" s="614"/>
      <c r="T103" s="613"/>
      <c r="U103" s="614"/>
      <c r="V103" s="614"/>
      <c r="W103" s="614"/>
      <c r="X103" s="614"/>
      <c r="Y103" s="614"/>
      <c r="Z103" s="614"/>
      <c r="AA103" s="614"/>
      <c r="AB103" s="614"/>
      <c r="AC103" s="614"/>
      <c r="AD103" s="614"/>
      <c r="AE103" s="614"/>
      <c r="AF103" s="614"/>
      <c r="AG103" s="614"/>
      <c r="AH103" s="614"/>
    </row>
    <row r="104" spans="2:34" ht="17" x14ac:dyDescent="0.2">
      <c r="B104" s="66" t="s">
        <v>238</v>
      </c>
      <c r="C104" s="66">
        <f>IF(TableQCalcMain[[#This Row],[Unit_Price]]&gt;0,TableQCalcMain[[#This Row],[ShowDesc?]],0)</f>
        <v>0</v>
      </c>
      <c r="D104" s="66">
        <f>IF(TableQCalcMain[[#This Row],[Unit_Price]]&gt;0,SEEDLE_Option7-1,0)</f>
        <v>0</v>
      </c>
      <c r="E104" s="66"/>
      <c r="F104" s="66">
        <v>1</v>
      </c>
      <c r="G104" s="66">
        <f>TableQCalcMain[[#This Row],[ShowDesc?]]*TableQCalcMain[[#This Row],[Software]]</f>
        <v>0</v>
      </c>
      <c r="H104" s="66">
        <f>TableQCalcMain[[#This Row],[ShowDesc?]]*TableQCalcMain[[#This Row],[Hardware]]</f>
        <v>0</v>
      </c>
      <c r="I104" s="66" t="str">
        <f>LEFT(WinSEEDLE!D30,SEARCH(" cm",WinSEEDLE!D30)+2) &amp; REPT(" ",1)&amp;TextTrayWarranty</f>
        <v>Set of 3 Medium &amp; Large trays              20x30, 25x35, 30x40 cm . Warranty 30 days, must inspect at reception</v>
      </c>
      <c r="J104" s="66">
        <f>WinSEEDLE!$I$22</f>
        <v>847330</v>
      </c>
      <c r="K104" s="66" t="str">
        <f>""</f>
        <v/>
      </c>
      <c r="L104" s="66">
        <f>ROUND(
IF(Distributeurs_Rabais,WinSEEDLE!#REF!,WinSEEDLE!G30),
2)</f>
        <v>0</v>
      </c>
      <c r="M104" s="591" t="str">
        <f>IFERROR(
IF(TableQCalcMain[[#This Row],[Unit_Price]]*TableQCalcMain[[#This Row],[Real_Quantity]]&gt;0,
TableQCalcMain[[#This Row],[Unit_Price]]*TableQCalcMain[[#This Row],[Real_Quantity]],""),"")</f>
        <v/>
      </c>
      <c r="N104" s="613"/>
      <c r="O104" s="614"/>
      <c r="P104" s="614"/>
      <c r="Q104" s="614"/>
      <c r="R104" s="614"/>
      <c r="S104" s="614"/>
      <c r="T104" s="613"/>
      <c r="U104" s="614"/>
      <c r="V104" s="614"/>
      <c r="W104" s="614"/>
      <c r="X104" s="614"/>
      <c r="Y104" s="614"/>
      <c r="Z104" s="614"/>
      <c r="AA104" s="614"/>
      <c r="AB104" s="614"/>
      <c r="AC104" s="614"/>
      <c r="AD104" s="614"/>
      <c r="AE104" s="614"/>
      <c r="AF104" s="614"/>
      <c r="AG104" s="614"/>
      <c r="AH104" s="614"/>
    </row>
    <row r="105" spans="2:34" ht="17" x14ac:dyDescent="0.2">
      <c r="B105" s="66" t="s">
        <v>239</v>
      </c>
      <c r="C105" s="66">
        <f>IF(TableQCalcMain[[#This Row],[Unit_Price]]&gt;0,TableQCalcMain[[#This Row],[ShowDesc?]],0)</f>
        <v>0</v>
      </c>
      <c r="D105" s="66">
        <f>IF(TableQCalcMain[[#This Row],[Unit_Price]]&gt;0,SEEDLE_Option8-1,0)</f>
        <v>0</v>
      </c>
      <c r="E105" s="66"/>
      <c r="F105" s="66">
        <v>1</v>
      </c>
      <c r="G105" s="66">
        <f>TableQCalcMain[[#This Row],[ShowDesc?]]*TableQCalcMain[[#This Row],[Software]]</f>
        <v>0</v>
      </c>
      <c r="H105" s="66">
        <f>TableQCalcMain[[#This Row],[ShowDesc?]]*TableQCalcMain[[#This Row],[Hardware]]</f>
        <v>0</v>
      </c>
      <c r="I105" s="66" t="str">
        <f>LEFT(WinSEEDLE!D31,SEARCH(" cm",WinSEEDLE!D31)+2) &amp; REPT(" ",1)&amp;TextTrayWarranty</f>
        <v>Set of 5 Small Medium Large trays      10x15, 15x20, 20x30, 25x35, 30x40 cm . Warranty 30 days, must inspect at reception</v>
      </c>
      <c r="J105" s="66">
        <f>WinSEEDLE!$I$22</f>
        <v>847330</v>
      </c>
      <c r="K105" s="66" t="str">
        <f>""</f>
        <v/>
      </c>
      <c r="L105" s="66">
        <f>ROUND(
IF(Distributeurs_Rabais,WinSEEDLE!#REF!,WinSEEDLE!G31),
2)</f>
        <v>0</v>
      </c>
      <c r="M105" s="591" t="str">
        <f>IFERROR(
IF(TableQCalcMain[[#This Row],[Unit_Price]]*TableQCalcMain[[#This Row],[Real_Quantity]]&gt;0,
TableQCalcMain[[#This Row],[Unit_Price]]*TableQCalcMain[[#This Row],[Real_Quantity]],""),"")</f>
        <v/>
      </c>
      <c r="N105" s="613"/>
      <c r="O105" s="614"/>
      <c r="P105" s="614"/>
      <c r="Q105" s="614"/>
      <c r="R105" s="614"/>
      <c r="S105" s="614"/>
      <c r="T105" s="613"/>
      <c r="U105" s="614"/>
      <c r="V105" s="614"/>
      <c r="W105" s="614"/>
      <c r="X105" s="614"/>
      <c r="Y105" s="614"/>
      <c r="Z105" s="614"/>
      <c r="AA105" s="614"/>
      <c r="AB105" s="614"/>
      <c r="AC105" s="614"/>
      <c r="AD105" s="614"/>
      <c r="AE105" s="614"/>
      <c r="AF105" s="614"/>
      <c r="AG105" s="614"/>
      <c r="AH105" s="614"/>
    </row>
    <row r="106" spans="2:34" ht="17" x14ac:dyDescent="0.2">
      <c r="B106" s="66" t="s">
        <v>240</v>
      </c>
      <c r="C106" s="66">
        <f>IF(TableQCalcMain[[#This Row],[Unit_Price]]&gt;0,TableQCalcMain[[#This Row],[ShowDesc?]],0)</f>
        <v>0</v>
      </c>
      <c r="D106" s="66">
        <f>IF(TableQCalcMain[[#This Row],[Unit_Price]]&gt;0,SEEDLE_Option9-1,0)</f>
        <v>0</v>
      </c>
      <c r="E106" s="66"/>
      <c r="F106" s="66">
        <v>1</v>
      </c>
      <c r="G106" s="66">
        <f>TableQCalcMain[[#This Row],[ShowDesc?]]*TableQCalcMain[[#This Row],[Software]]</f>
        <v>0</v>
      </c>
      <c r="H106" s="66">
        <f>TableQCalcMain[[#This Row],[ShowDesc?]]*TableQCalcMain[[#This Row],[Hardware]]</f>
        <v>0</v>
      </c>
      <c r="I106" s="66" t="str">
        <f>LEFT(WinSEEDLE!D32,SEARCH(" cm",WinSEEDLE!D32)+2) &amp; REPT(" ",1)&amp;TextTrayWarranty</f>
        <v>Individual Medium tray                           20x30 cm . Warranty 30 days, must inspect at reception</v>
      </c>
      <c r="J106" s="66">
        <f>WinSEEDLE!$I$22</f>
        <v>847330</v>
      </c>
      <c r="K106" s="66" t="str">
        <f>""</f>
        <v/>
      </c>
      <c r="L106" s="66">
        <f>ROUND(
IF(Distributeurs_Rabais,WinSEEDLE!#REF!,WinSEEDLE!G32),
2)</f>
        <v>0</v>
      </c>
      <c r="M106" s="591" t="str">
        <f>IFERROR(
IF(TableQCalcMain[[#This Row],[Unit_Price]]*TableQCalcMain[[#This Row],[Real_Quantity]]&gt;0,
TableQCalcMain[[#This Row],[Unit_Price]]*TableQCalcMain[[#This Row],[Real_Quantity]],""),"")</f>
        <v/>
      </c>
      <c r="N106" s="613"/>
      <c r="O106" s="614"/>
      <c r="P106" s="614"/>
      <c r="Q106" s="614"/>
      <c r="R106" s="614"/>
      <c r="S106" s="614"/>
      <c r="T106" s="613"/>
      <c r="U106" s="614"/>
      <c r="V106" s="614"/>
      <c r="W106" s="614"/>
      <c r="X106" s="614"/>
      <c r="Y106" s="614"/>
      <c r="Z106" s="614"/>
      <c r="AA106" s="614"/>
      <c r="AB106" s="614"/>
      <c r="AC106" s="614"/>
      <c r="AD106" s="614"/>
      <c r="AE106" s="614"/>
      <c r="AF106" s="614"/>
      <c r="AG106" s="614"/>
      <c r="AH106" s="614"/>
    </row>
    <row r="107" spans="2:34" ht="17" x14ac:dyDescent="0.2">
      <c r="B107" s="66" t="s">
        <v>241</v>
      </c>
      <c r="C107" s="66">
        <f>IF(TableQCalcMain[[#This Row],[Unit_Price]]&gt;0,TableQCalcMain[[#This Row],[ShowDesc?]],0)</f>
        <v>0</v>
      </c>
      <c r="D107" s="66">
        <f>IF(TableQCalcMain[[#This Row],[Unit_Price]]&gt;0,SEEDLE_Option10-1,0)</f>
        <v>0</v>
      </c>
      <c r="E107" s="66"/>
      <c r="F107" s="66">
        <v>1</v>
      </c>
      <c r="G107" s="66">
        <f>TableQCalcMain[[#This Row],[ShowDesc?]]*TableQCalcMain[[#This Row],[Software]]</f>
        <v>0</v>
      </c>
      <c r="H107" s="66">
        <f>TableQCalcMain[[#This Row],[ShowDesc?]]*TableQCalcMain[[#This Row],[Hardware]]</f>
        <v>0</v>
      </c>
      <c r="I107" s="66" t="str">
        <f>LEFT(WinSEEDLE!D33,SEARCH(" cm",WinSEEDLE!D33)+2) &amp; REPT(" ",1)&amp;TextTrayWarranty</f>
        <v>Individual Medium tray                           25x35 cm . Warranty 30 days, must inspect at reception</v>
      </c>
      <c r="J107" s="66">
        <f>WinSEEDLE!$I$22</f>
        <v>847330</v>
      </c>
      <c r="K107" s="66" t="str">
        <f>""</f>
        <v/>
      </c>
      <c r="L107" s="66">
        <f>ROUND(
IF(Distributeurs_Rabais,WinSEEDLE!#REF!,WinSEEDLE!G33),
2)</f>
        <v>0</v>
      </c>
      <c r="M107" s="591" t="str">
        <f>IFERROR(
IF(TableQCalcMain[[#This Row],[Unit_Price]]*TableQCalcMain[[#This Row],[Real_Quantity]]&gt;0,
TableQCalcMain[[#This Row],[Unit_Price]]*TableQCalcMain[[#This Row],[Real_Quantity]],""),"")</f>
        <v/>
      </c>
      <c r="N107" s="613"/>
      <c r="O107" s="614"/>
      <c r="P107" s="614"/>
      <c r="Q107" s="614"/>
      <c r="R107" s="614"/>
      <c r="S107" s="614"/>
      <c r="T107" s="613"/>
      <c r="U107" s="614"/>
      <c r="V107" s="614"/>
      <c r="W107" s="614"/>
      <c r="X107" s="614"/>
      <c r="Y107" s="614"/>
      <c r="Z107" s="614"/>
      <c r="AA107" s="614"/>
      <c r="AB107" s="614"/>
      <c r="AC107" s="614"/>
      <c r="AD107" s="614"/>
      <c r="AE107" s="614"/>
      <c r="AF107" s="614"/>
      <c r="AG107" s="614"/>
      <c r="AH107" s="614"/>
    </row>
    <row r="108" spans="2:34" ht="17" x14ac:dyDescent="0.2">
      <c r="B108" s="66" t="s">
        <v>242</v>
      </c>
      <c r="C108" s="66">
        <f>IF(TableQCalcMain[[#This Row],[Unit_Price]]&gt;0,TableQCalcMain[[#This Row],[ShowDesc?]],0)</f>
        <v>0</v>
      </c>
      <c r="D108" s="66">
        <f>IF(TableQCalcMain[[#This Row],[Unit_Price]]&gt;0,SEEDLE_Option11-1,0)</f>
        <v>0</v>
      </c>
      <c r="E108" s="66"/>
      <c r="F108" s="66">
        <v>1</v>
      </c>
      <c r="G108" s="66">
        <f>TableQCalcMain[[#This Row],[ShowDesc?]]*TableQCalcMain[[#This Row],[Software]]</f>
        <v>0</v>
      </c>
      <c r="H108" s="66">
        <f>TableQCalcMain[[#This Row],[ShowDesc?]]*TableQCalcMain[[#This Row],[Hardware]]</f>
        <v>0</v>
      </c>
      <c r="I108" s="66" t="str">
        <f>LEFT(WinSEEDLE!D34,SEARCH(" cm",WinSEEDLE!D34)+2) &amp; REPT(" ",1)&amp;TextTrayWarranty</f>
        <v>Individual Large tray                                 30x40 cm . Warranty 30 days, must inspect at reception</v>
      </c>
      <c r="J108" s="66">
        <f>WinSEEDLE!$I$22</f>
        <v>847330</v>
      </c>
      <c r="K108" s="66" t="str">
        <f>""</f>
        <v/>
      </c>
      <c r="L108" s="66">
        <f>ROUND(
IF(Distributeurs_Rabais,WinSEEDLE!#REF!,WinSEEDLE!G34),
2)</f>
        <v>0</v>
      </c>
      <c r="M108" s="591" t="str">
        <f>IFERROR(
IF(TableQCalcMain[[#This Row],[Unit_Price]]*TableQCalcMain[[#This Row],[Real_Quantity]]&gt;0,
TableQCalcMain[[#This Row],[Unit_Price]]*TableQCalcMain[[#This Row],[Real_Quantity]],""),"")</f>
        <v/>
      </c>
      <c r="N108" s="613"/>
      <c r="O108" s="614"/>
      <c r="P108" s="614"/>
      <c r="Q108" s="614"/>
      <c r="R108" s="614"/>
      <c r="S108" s="614"/>
      <c r="T108" s="613"/>
      <c r="U108" s="614"/>
      <c r="V108" s="614"/>
      <c r="W108" s="614"/>
      <c r="X108" s="614"/>
      <c r="Y108" s="614"/>
      <c r="Z108" s="614"/>
      <c r="AA108" s="614"/>
      <c r="AB108" s="614"/>
      <c r="AC108" s="614"/>
      <c r="AD108" s="614"/>
      <c r="AE108" s="614"/>
      <c r="AF108" s="614"/>
      <c r="AG108" s="614"/>
      <c r="AH108" s="614"/>
    </row>
    <row r="109" spans="2:34" x14ac:dyDescent="0.2">
      <c r="B109" s="66" t="s">
        <v>243</v>
      </c>
      <c r="C109" s="66">
        <v>0</v>
      </c>
      <c r="D109" s="66">
        <v>0</v>
      </c>
      <c r="E109" s="66"/>
      <c r="F109" s="66"/>
      <c r="G109" s="66">
        <f>TableQCalcMain[[#This Row],[ShowDesc?]]*TableQCalcMain[[#This Row],[Software]]</f>
        <v>0</v>
      </c>
      <c r="H109" s="66">
        <f>TableQCalcMain[[#This Row],[ShowDesc?]]*TableQCalcMain[[#This Row],[Hardware]]</f>
        <v>0</v>
      </c>
      <c r="I109" s="66" t="s">
        <v>250</v>
      </c>
      <c r="J109" s="66" t="str">
        <f>""</f>
        <v/>
      </c>
      <c r="K109" s="66" t="str">
        <f>""</f>
        <v/>
      </c>
      <c r="L109" s="66" t="str">
        <f>""</f>
        <v/>
      </c>
      <c r="M109" s="66" t="str">
        <f>""</f>
        <v/>
      </c>
      <c r="N109" s="613"/>
      <c r="O109" s="614"/>
      <c r="P109" s="614"/>
      <c r="Q109" s="614"/>
      <c r="R109" s="614"/>
      <c r="S109" s="614"/>
      <c r="T109" s="613"/>
      <c r="U109" s="614"/>
      <c r="V109" s="614"/>
      <c r="W109" s="614"/>
      <c r="X109" s="614"/>
      <c r="Y109" s="614"/>
      <c r="Z109" s="614"/>
      <c r="AA109" s="614"/>
      <c r="AB109" s="614"/>
      <c r="AC109" s="614"/>
      <c r="AD109" s="614"/>
      <c r="AE109" s="614"/>
      <c r="AF109" s="614"/>
      <c r="AG109" s="614"/>
      <c r="AH109" s="614"/>
    </row>
    <row r="110" spans="2:34" x14ac:dyDescent="0.2">
      <c r="B110" s="679" t="s">
        <v>112</v>
      </c>
      <c r="C110" s="679" t="str">
        <f>""</f>
        <v/>
      </c>
      <c r="D110" s="679" t="e">
        <f>SUM(D84:D109)</f>
        <v>#REF!</v>
      </c>
      <c r="E110" s="679">
        <v>1</v>
      </c>
      <c r="F110" s="679">
        <v>1</v>
      </c>
      <c r="G110" s="679">
        <f>SUM(G84:G109)</f>
        <v>0</v>
      </c>
      <c r="H110" s="679">
        <f>SUM(H84:H109)</f>
        <v>0</v>
      </c>
      <c r="I110" s="679" t="str">
        <f>REPT(" ",5)</f>
        <v xml:space="preserve">     </v>
      </c>
      <c r="J110" s="679" t="str">
        <f>""</f>
        <v/>
      </c>
      <c r="K110" s="679" t="str">
        <f>""</f>
        <v/>
      </c>
      <c r="L110" s="679" t="str">
        <f>""</f>
        <v/>
      </c>
      <c r="M110" s="679" t="str">
        <f>""</f>
        <v/>
      </c>
      <c r="N110" s="613"/>
      <c r="O110" s="614"/>
      <c r="P110" s="614"/>
      <c r="Q110" s="614"/>
      <c r="R110" s="614"/>
      <c r="S110" s="614"/>
      <c r="T110" s="613"/>
      <c r="U110" s="614"/>
      <c r="V110" s="614"/>
      <c r="W110" s="614"/>
      <c r="X110" s="614"/>
      <c r="Y110" s="614"/>
      <c r="Z110" s="614"/>
      <c r="AA110" s="614"/>
      <c r="AB110" s="614"/>
      <c r="AC110" s="614"/>
      <c r="AD110" s="614"/>
      <c r="AE110" s="614"/>
      <c r="AF110" s="614"/>
      <c r="AG110" s="614"/>
      <c r="AH110" s="614"/>
    </row>
    <row r="111" spans="2:34" x14ac:dyDescent="0.2">
      <c r="B111" s="66" t="s">
        <v>83</v>
      </c>
      <c r="C111" s="66">
        <f>CAM_N_System-1</f>
        <v>0</v>
      </c>
      <c r="D111" s="66">
        <f>IF(IFERROR(WinCAM!$H$14+0,0)&gt;0,CAM_N_System-1,0)</f>
        <v>0</v>
      </c>
      <c r="E111" s="66">
        <v>1</v>
      </c>
      <c r="F111" s="66"/>
      <c r="G111" s="66">
        <v>0</v>
      </c>
      <c r="H111" s="66">
        <v>0</v>
      </c>
      <c r="I111" s="66" t="str">
        <f>WinCAM!E2&amp; IF(Francais," Incluant:"," Including:")&amp; REPT(" ",4)</f>
        <v xml:space="preserve">WinCAM™ NDVI Reg 2025 Software With Scanner Including:    </v>
      </c>
      <c r="J111" s="66">
        <f>WinCAM!I14</f>
        <v>903149</v>
      </c>
      <c r="K111" s="66" t="e">
        <f>TableQCalcMain[[#This Row],[Extended_price]]</f>
        <v>#REF!</v>
      </c>
      <c r="L111" s="66" t="e">
        <f>IF(OR(TableQCalcMain[[#This Row],[Real_Quantity]]=0,TableQCalcMain[[#This Row],[Extended_price]]=0),"",ROUND(TableQCalcMain[[#This Row],[Extended_price]]/TableQCalcMain[[#This Row],[Real_Quantity]],2))</f>
        <v>#REF!</v>
      </c>
      <c r="M111" s="712" t="e">
        <f>ROUND(
IF(Distributeurs_Rabais,
WinCAM!#REF! + WinCAM!#REF!,
WinCAM!H11 + WinCAM!H14)+K113,
2)</f>
        <v>#REF!</v>
      </c>
      <c r="N111" s="613"/>
      <c r="O111" s="614"/>
      <c r="P111" s="614"/>
      <c r="Q111" s="614"/>
      <c r="R111" s="614"/>
      <c r="S111" s="614"/>
      <c r="T111" s="613"/>
      <c r="U111" s="614"/>
      <c r="V111" s="614"/>
      <c r="W111" s="614"/>
      <c r="X111" s="614"/>
      <c r="Y111" s="614"/>
      <c r="Z111" s="614"/>
      <c r="AA111" s="614"/>
      <c r="AB111" s="614"/>
      <c r="AC111" s="614"/>
      <c r="AD111" s="614"/>
      <c r="AE111" s="614"/>
      <c r="AF111" s="614"/>
      <c r="AG111" s="614"/>
      <c r="AH111" s="614"/>
    </row>
    <row r="112" spans="2:34" x14ac:dyDescent="0.2">
      <c r="B112" s="687" t="s">
        <v>84</v>
      </c>
      <c r="C112" s="688">
        <f>IF(AND(NOT(QUOTE_Split_SoftwareHardware),N(D111)&gt;0),
IF(CAM_N_Software-1=0,0,""),
CAM_N_Software-1)</f>
        <v>0</v>
      </c>
      <c r="D112" s="66">
        <f>TableQCalcMain[[#This Row],[Real_Quantity]]</f>
        <v>0</v>
      </c>
      <c r="E112" s="66">
        <v>1</v>
      </c>
      <c r="F112" s="66"/>
      <c r="G112" s="66">
        <f>N(TableQCalcMain[[#This Row],[ShowDesc?]])*TableQCalcMain[[#This Row],[Software]]</f>
        <v>0</v>
      </c>
      <c r="H112" s="66">
        <f>N(TableQCalcMain[[#This Row],[ShowDesc?]])*TableQCalcMain[[#This Row],[Hardware]]</f>
        <v>0</v>
      </c>
      <c r="I112" s="66" t="str">
        <f>IF(OR(CAM_N_System=1,QUOTE_Split_SoftwareHardware),"","   • ") &amp; SUBSTITUTE(LEFT(INDEX(CAM_SoftwareFullNames,CAM_IndexSoftware),FIND(" ",INDEX(CAM_SoftwareFullNames,CAM_IndexSoftware),FIND(" ",INDEX(CAM_SoftwareFullNames,CAM_IndexSoftware))+1)),"™",IF(OR(CAM_N_System=1,QUOTE_Split_SoftwareHardware),"™",""))&amp;
CAM_YearMostRecent &amp;
IF(Francais," Logiciel","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IF(AND(QUOTE_SameClient=TRUE,CAM_N_Software+CAM_N_AlreadyHaveSoftware&gt;3),IF(Francais," (incl. rabais multi licenses"," (incl. multi licenses discount")&amp;
" "&amp;TEXT(ROUND((INDEX(CAM_SoftwarePriceList,(CAM_IndexSoftware)))*((CAM_N_Software-1)-IF(CAM_N_Software-1=0,0,SUM(MMULT(
  _xlfn.MUNIT(
   CAM_N_Software-1),
    INDEX(TableLists[Column10],CAM_N_AlreadyHaveSoftware-1+2):
    INDEX(TableLists[Column10],(CAM_N_AlreadyHaveSoftware-1+1)+(CAM_N_Software-1))
))))*(1-RebateSoftware*Distributeurs_Rabais),0),"0.00")&amp;")","")</f>
        <v>WinCAM™ NDVI 2025 Software on USB drive (PDF &amp; printed manuals)</v>
      </c>
      <c r="J112" s="66">
        <f>IF(AND(CAM_N_System&gt;1,NOT(QUOTE_Split_SoftwareHardware)),
"",WinCAM!I11)</f>
        <v>852349</v>
      </c>
      <c r="K112" s="66">
        <f>ROUND((INDEX(CAM_SoftwarePriceList,CAM_IndexSoftware))*
IF(CAM_N_Software-1=0,0,SUM(MMULT(
  _xlfn.MUNIT(
   CAM_N_Software-1),
    INDEX(TableLists[Column10],CAM_N_AlreadyHaveSoftware-1+2):
    INDEX(TableLists[Column10],(CAM_N_AlreadyHaveSoftware-1+1)+(CAM_N_Software-1))
)))*(1-RebateSoftware*Distributeurs_Rabais)
-IF(QUOTE_Split_SoftwareHardware,PrixUSBKey*(CAM_N_Software-1),0),0)</f>
        <v>0</v>
      </c>
      <c r="L112" s="66" t="str">
        <f>IF(OR(TableQCalcMain[[#This Row],[Real_Quantity]]=0,TableQCalcMain[[#This Row],[Extended_price]]=0),"",ROUND(TableQCalcMain[[#This Row],[Extended_price]]/TableQCalcMain[[#This Row],[Real_Quantity]],2))</f>
        <v/>
      </c>
      <c r="M112" s="66">
        <f>ROUND(
IF(CAM_N_System&gt;1,
IF(NOT(QUOTE_Split_SoftwareHardware),0,TableQCalcMain[[#This Row],[Detailed_Ext_Price]]),
(INDEX(CAM_SoftwarePriceList,(CAM_IndexSoftware)))*
IF(CAM_N_Software-1=0,0,SUM(MMULT(
  _xlfn.MUNIT(
   CAM_N_Software-1),
    INDEX(TableLists[Column10],CAM_N_AlreadyHaveSoftware-1+2):
    INDEX(TableLists[Column10],(CAM_N_AlreadyHaveSoftware-1+1)+(CAM_N_Software-1))
))
)*(1-RebateSoftware*Distributeurs_Rabais)
-IF(QUOTE_Split_SoftwareHardware,PrixUSBKey*(CAM_N_Software-1),0)
),0)</f>
        <v>0</v>
      </c>
      <c r="N112" s="613"/>
      <c r="O112" s="614"/>
      <c r="P112" s="614"/>
      <c r="Q112" s="614"/>
      <c r="R112" s="614"/>
      <c r="S112" s="614"/>
      <c r="T112" s="613"/>
      <c r="U112" s="614"/>
      <c r="V112" s="614"/>
      <c r="W112" s="614"/>
      <c r="X112" s="614"/>
      <c r="Y112" s="614"/>
      <c r="Z112" s="614"/>
      <c r="AA112" s="614"/>
      <c r="AB112" s="614"/>
      <c r="AC112" s="614"/>
      <c r="AD112" s="614"/>
      <c r="AE112" s="614"/>
      <c r="AF112" s="614"/>
      <c r="AG112" s="614"/>
      <c r="AH112" s="614"/>
    </row>
    <row r="113" spans="2:34" x14ac:dyDescent="0.2">
      <c r="B113" s="710" t="s">
        <v>777</v>
      </c>
      <c r="C113" s="712" t="str">
        <f>""</f>
        <v/>
      </c>
      <c r="D113" s="712" t="e">
        <f>IF(AND(
C111&lt;&gt;0,C112=0,
NOT(QUOTE_Split_SoftwareHardware),
WinCAM!#REF!&gt;0
),C122,0)+N("Si il y a un système sans software (update only) et que facture est pas split, afficher UpgradeUpdate en tant que Software dans système")</f>
        <v>#REF!</v>
      </c>
      <c r="E113" s="66"/>
      <c r="F113" s="66"/>
      <c r="G113" s="66"/>
      <c r="H113" s="66"/>
      <c r="I113" s="710" t="e">
        <f>"   • " &amp; I122</f>
        <v>#REF!</v>
      </c>
      <c r="J113" s="710">
        <f>J122</f>
        <v>852349</v>
      </c>
      <c r="K113" s="710" t="e">
        <f>IF(TableQCalcMain[[#This Row],[ShowDesc?]]=0,0,M122)</f>
        <v>#REF!</v>
      </c>
      <c r="L113" s="66"/>
      <c r="M113" s="66"/>
      <c r="N113" s="613"/>
      <c r="O113" s="614"/>
      <c r="P113" s="614"/>
      <c r="Q113" s="614"/>
      <c r="R113" s="614"/>
      <c r="S113" s="614"/>
      <c r="T113" s="613"/>
      <c r="U113" s="614"/>
      <c r="V113" s="614"/>
      <c r="W113" s="614"/>
      <c r="X113" s="614"/>
      <c r="Y113" s="614"/>
      <c r="Z113" s="614"/>
      <c r="AA113" s="614"/>
      <c r="AB113" s="614"/>
      <c r="AC113" s="614"/>
      <c r="AD113" s="614"/>
      <c r="AE113" s="614"/>
      <c r="AF113" s="614"/>
      <c r="AG113" s="614"/>
      <c r="AH113" s="614"/>
    </row>
    <row r="114" spans="2:34" x14ac:dyDescent="0.2">
      <c r="B114" s="608" t="s">
        <v>345</v>
      </c>
      <c r="C114" s="66" t="str">
        <f>""</f>
        <v/>
      </c>
      <c r="D114" s="66">
        <f>IF(QUOTE_Split_SoftwareHardware,N($C$112),0)</f>
        <v>0</v>
      </c>
      <c r="E114" s="66">
        <v>1</v>
      </c>
      <c r="F114" s="66"/>
      <c r="G114" s="66">
        <f>TableQCalcMain[[#This Row],[ShowDesc?]]*TableQCalcMain[[#This Row],[Software]]</f>
        <v>0</v>
      </c>
      <c r="H114" s="66"/>
      <c r="I11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",12)</f>
        <v xml:space="preserve">         • Software &amp; Instructions documents (PDF &amp; printed)            </v>
      </c>
      <c r="J114" s="66" t="str">
        <f>""</f>
        <v/>
      </c>
      <c r="K114" s="66" t="str">
        <f>""</f>
        <v/>
      </c>
      <c r="L114" s="66" t="str">
        <f>""</f>
        <v/>
      </c>
      <c r="M114" s="66" t="str">
        <f>""</f>
        <v/>
      </c>
      <c r="N114" s="613"/>
      <c r="O114" s="614"/>
      <c r="P114" s="614"/>
      <c r="Q114" s="614"/>
      <c r="R114" s="614"/>
      <c r="S114" s="614"/>
      <c r="T114" s="613"/>
      <c r="U114" s="614"/>
      <c r="V114" s="614"/>
      <c r="W114" s="614"/>
      <c r="X114" s="614"/>
      <c r="Y114" s="614"/>
      <c r="Z114" s="614"/>
      <c r="AA114" s="614"/>
      <c r="AB114" s="614"/>
      <c r="AC114" s="614"/>
      <c r="AD114" s="614"/>
      <c r="AE114" s="614"/>
      <c r="AF114" s="614"/>
      <c r="AG114" s="614"/>
      <c r="AH114" s="614"/>
    </row>
    <row r="115" spans="2:34" x14ac:dyDescent="0.2">
      <c r="B115" s="66" t="s">
        <v>727</v>
      </c>
      <c r="C115" s="66"/>
      <c r="D115" s="66"/>
      <c r="E115" s="66"/>
      <c r="F115" s="66"/>
      <c r="G115" s="66"/>
      <c r="H115" s="66"/>
      <c r="I115" s="66"/>
      <c r="J115" s="66"/>
      <c r="K115" s="66"/>
      <c r="L115" s="66"/>
      <c r="M115" s="66"/>
      <c r="N115" s="613"/>
      <c r="O115" s="614"/>
      <c r="P115" s="614"/>
      <c r="Q115" s="614"/>
      <c r="R115" s="614"/>
      <c r="S115" s="614"/>
      <c r="T115" s="613"/>
      <c r="U115" s="614"/>
      <c r="V115" s="614"/>
      <c r="W115" s="614"/>
      <c r="X115" s="614"/>
      <c r="Y115" s="614"/>
      <c r="Z115" s="614"/>
      <c r="AA115" s="614"/>
      <c r="AB115" s="614"/>
      <c r="AC115" s="614"/>
      <c r="AD115" s="614"/>
      <c r="AE115" s="614"/>
      <c r="AF115" s="614"/>
      <c r="AG115" s="614"/>
      <c r="AH115" s="614"/>
    </row>
    <row r="116" spans="2:34" x14ac:dyDescent="0.2">
      <c r="B116" s="66" t="s">
        <v>335</v>
      </c>
      <c r="C116" s="66">
        <f>N($C$112)+N($C$122)</f>
        <v>0</v>
      </c>
      <c r="D116" s="66">
        <f>IF(AND(QUOTE_Split_SoftwareHardware,TableQCalcMain[[#This Row],[Real_Quantity]]&gt;0),1,0)</f>
        <v>0</v>
      </c>
      <c r="E116" s="66">
        <f>IF(QUOTE_InternetDownload,0,1)</f>
        <v>1</v>
      </c>
      <c r="F116" s="66">
        <f>IF(QUOTE_InternetDownload,1,0)</f>
        <v>0</v>
      </c>
      <c r="G116" s="66">
        <f>TableQCalcMain[[#This Row],[ShowDesc?]]*TableQCalcMain[[#This Row],[Software]]</f>
        <v>0</v>
      </c>
      <c r="H116" s="66">
        <f>TableQCalcMain[[#This Row],[ShowDesc?]]*TableQCalcMain[[#This Row],[Hardware]]</f>
        <v>0</v>
      </c>
      <c r="I116" s="66"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WinCAM</v>
      </c>
      <c r="J116" s="66">
        <v>852351</v>
      </c>
      <c r="K116" s="66">
        <f>TableQCalcMain[[#This Row],[Extended_price]]</f>
        <v>0</v>
      </c>
      <c r="L116" s="66" t="str">
        <f>IF(OR(TableQCalcMain[[#This Row],[Real_Quantity]]=0,TableQCalcMain[[#This Row],[Extended_price]]=0),"",ROUND(TableQCalcMain[[#This Row],[Extended_price]]/TableQCalcMain[[#This Row],[Real_Quantity]],2))</f>
        <v/>
      </c>
      <c r="M116" s="66">
        <f>PrixUSBKey*TableQCalcMain[[#This Row],[Real_Quantity]]</f>
        <v>0</v>
      </c>
      <c r="N116" s="613"/>
      <c r="O116" s="614"/>
      <c r="P116" s="614"/>
      <c r="Q116" s="614"/>
      <c r="R116" s="614"/>
      <c r="S116" s="614"/>
      <c r="T116" s="613"/>
      <c r="U116" s="614"/>
      <c r="V116" s="614"/>
      <c r="W116" s="614"/>
      <c r="X116" s="614"/>
      <c r="Y116" s="614"/>
      <c r="Z116" s="614"/>
      <c r="AA116" s="614"/>
      <c r="AB116" s="614"/>
      <c r="AC116" s="614"/>
      <c r="AD116" s="614"/>
      <c r="AE116" s="614"/>
      <c r="AF116" s="614"/>
      <c r="AG116" s="614"/>
      <c r="AH116" s="614"/>
    </row>
    <row r="117" spans="2:34" x14ac:dyDescent="0.2">
      <c r="B117" s="66" t="s">
        <v>330</v>
      </c>
      <c r="C117" s="66" t="str">
        <f>IF(NOT(QUOTE_Split_SoftwareHardware),"",C111)</f>
        <v/>
      </c>
      <c r="D117" s="66">
        <f>IF(CAM_ClientWithOrWithoutScanner=1,$D$111,0)</f>
        <v>0</v>
      </c>
      <c r="E117" s="66"/>
      <c r="F117" s="66">
        <v>1</v>
      </c>
      <c r="G117" s="66">
        <f>TableQCalcMain[[#This Row],[ShowDesc?]]*TableQCalcMain[[#This Row],[Software]]</f>
        <v>0</v>
      </c>
      <c r="H117" s="66">
        <f>TableQCalcMain[[#This Row],[ShowDesc?]]*TableQCalcMain[[#This Row],[Hardware]]</f>
        <v>0</v>
      </c>
      <c r="I117" s="604" t="str">
        <f>IF(OR(CAM_N_System=1,QUOTE_Split_SoftwareHardware),"","   • ")&amp;IF(OR(CAM_IndexScanner=1,CAM_IndexScanner=2),
IF(CAM_IndexScanner=1,
IF(Francais," Scanner STD4800: 4800 ppp, Surface de Scan 22x30cm (20x25cm avec LS)"," STD4800 Scanner: 4800 dpi, Scan Area 22x30cm (20x25cm with SL)"),
IF(Francais," Scanner LA2400: 2400 ppp, Surface de Scan 31x44cm (31x42cm avec LS)"," LA2400 Scanner: 2400 dpi, Scan Area 31x44cm (31x42cm with SL)"))&amp;REPT(" ",10)&amp;"S/N:"&amp;CAM_Serial&amp;REPT(" ",4),
IF(CAM_IndexScanner=3,
IF(Francais," Scanner LC4800: 4800 ppp, Surface de Scan 22x28cm"," LC4800 Scanner: 4800 dpi, Scan Area 22x28cm"))&amp;REPT(" ",10)&amp;"S/N:"&amp;CAM_Serial&amp;REPT(" ",4))</f>
        <v xml:space="preserve"> STD4800 Scanner: 4800 dpi, Scan Area 22x30cm (20x25cm with SL)          S/N:    </v>
      </c>
      <c r="J117" s="66" t="str">
        <f>IF(QUOTE_Split_SoftwareHardware,ScannerHCode,"")</f>
        <v/>
      </c>
      <c r="K117" s="604">
        <f>IF(CAM_ClientWithOrWithoutScanner=1,
   IF(Distributeurs_Rabais,
      IF(CAM_IndexScanner=1,PrixSTD_Dist,IF(CAM_IndexScanner=2,PrixLA_Dist,PrixLC_Dist)),
      IF(CAM_IndexScanner=1,PrixSTD,          IF(CAM_IndexScanner=2,PrixLA,          PrixLC))
    ),
0)
*(CAM_N_System-1) -K120</f>
        <v>0</v>
      </c>
      <c r="L117" s="66">
        <f>IF(C111=0,0,ROUND(TableQCalcMain[[#This Row],[Extended_price]]/C111,2))</f>
        <v>0</v>
      </c>
      <c r="M117" s="66">
        <f>IF(NOT(QUOTE_Split_SoftwareHardware),0,TableQCalcMain[[#This Row],[Detailed_Ext_Price]]+N(K118)+K119)</f>
        <v>0</v>
      </c>
      <c r="N117" s="613"/>
      <c r="O117" s="614"/>
      <c r="P117" s="614"/>
      <c r="Q117" s="614"/>
      <c r="R117" s="614"/>
      <c r="S117" s="614"/>
      <c r="T117" s="613"/>
      <c r="U117" s="614"/>
      <c r="V117" s="614"/>
      <c r="W117" s="614"/>
      <c r="X117" s="614"/>
      <c r="Y117" s="614"/>
      <c r="Z117" s="614"/>
      <c r="AA117" s="614"/>
      <c r="AB117" s="614"/>
      <c r="AC117" s="614"/>
      <c r="AD117" s="614"/>
      <c r="AE117" s="614"/>
      <c r="AF117" s="614"/>
      <c r="AG117" s="614"/>
      <c r="AH117" s="614"/>
    </row>
    <row r="118" spans="2:34" ht="17" x14ac:dyDescent="0.2">
      <c r="B118" s="66" t="s">
        <v>103</v>
      </c>
      <c r="C118" s="591" t="str">
        <f>IF(AND(CAM_ClientWithOrWithoutScanner=1,CAM_IndexScanner=2),D118,"")</f>
        <v/>
      </c>
      <c r="D118" s="66">
        <f>IF(AND(WinCAM!G22&gt;0,D111&gt;0),CAM_OptionTPU-1,IF(AND(CAM_ClientWithOrWithoutScanner=1,CAM_IndexScanner=1),D111,0))</f>
        <v>0</v>
      </c>
      <c r="E118" s="66"/>
      <c r="F118" s="66">
        <v>1</v>
      </c>
      <c r="G118" s="66">
        <f>TableQCalcMain[[#This Row],[ShowDesc?]]*TableQCalcMain[[#This Row],[Software]]</f>
        <v>0</v>
      </c>
      <c r="H118" s="66">
        <f>TableQCalcMain[[#This Row],[ShowDesc?]]*TableQCalcMain[[#This Row],[Hardware]]</f>
        <v>0</v>
      </c>
      <c r="I118" s="66" t="str">
        <f>"         " &amp; WinCAM!$E$22 &amp; REPT(" ",3)&amp;REPT(" ",15) &amp; "S/N:" &amp;CAM_SerialTPU</f>
        <v xml:space="preserve">         • Special Light (SL) to scan Leaves differently, Roots, Seeds &amp; Needles                  S/N:</v>
      </c>
      <c r="J118" s="66" t="str">
        <f>""</f>
        <v/>
      </c>
      <c r="K118" s="615" t="str">
        <f>IF(CAM_IndexScanner=1,
"incl.",
IF(Distributeurs_Rabais,PrixTPU_Dist,PrixTPU)*(CAM_OptionTPU-1)
)</f>
        <v>incl.</v>
      </c>
      <c r="L118" s="66" t="str">
        <f>""</f>
        <v/>
      </c>
      <c r="M118" s="66" t="str">
        <f>""</f>
        <v/>
      </c>
      <c r="N118" s="613"/>
      <c r="O118" s="614"/>
      <c r="P118" s="614"/>
      <c r="Q118" s="614"/>
      <c r="R118" s="614"/>
      <c r="S118" s="614"/>
      <c r="T118" s="613"/>
      <c r="U118" s="614"/>
      <c r="V118" s="614"/>
      <c r="W118" s="614"/>
      <c r="X118" s="614"/>
      <c r="Y118" s="614"/>
      <c r="Z118" s="614"/>
      <c r="AA118" s="614"/>
      <c r="AB118" s="614"/>
      <c r="AC118" s="614"/>
      <c r="AD118" s="614"/>
      <c r="AE118" s="614"/>
      <c r="AF118" s="614"/>
      <c r="AG118" s="614"/>
      <c r="AH118" s="614"/>
    </row>
    <row r="119" spans="2:34" x14ac:dyDescent="0.2">
      <c r="B119" s="66" t="s">
        <v>104</v>
      </c>
      <c r="C119" s="66" t="str">
        <f>IF(AND(QUOTE_Split_SoftwareHardware,CAM_PosiOrBlueBG_Checkbox,NOT(CAM_ClientWithOrWithoutScanner_ChkBox)),C111,"")</f>
        <v/>
      </c>
      <c r="D119" s="66">
        <f>IF(CAM_PosiOrBlueBG_Checkbox,D111,0)</f>
        <v>0</v>
      </c>
      <c r="E119" s="66"/>
      <c r="F119" s="66">
        <v>1</v>
      </c>
      <c r="G119" s="66">
        <f>TableQCalcMain[[#This Row],[ShowDesc?]]*TableQCalcMain[[#This Row],[Software]]</f>
        <v>0</v>
      </c>
      <c r="H119" s="66">
        <f>TableQCalcMain[[#This Row],[ShowDesc?]]*TableQCalcMain[[#This Row],[Hardware]]</f>
        <v>0</v>
      </c>
      <c r="I119" s="66" t="str">
        <f>SUBSTITUTE("         " &amp; WinCAM!$D$21 &amp; REPT(" ",3),
"         • ",
IF(AND(QUOTE_Split_SoftwareHardware,NOT(CAM_ClientWithOrWithoutScanner_ChkBox)),"","         • "))</f>
        <v xml:space="preserve">         • Blue Background for Color Analysis for STD scanner   </v>
      </c>
      <c r="J119" s="66" t="str">
        <f>IF(AND(CAM_PosiOrBlueBG_Checkbox,QUOTE_Split_SoftwareHardware),WinCAM!$I$24,"")</f>
        <v/>
      </c>
      <c r="K119" s="66">
        <f>ROUND(INDEX(PrixBlBgSTD_LA_LC,1,,CAM_IndexScanner)*(CAM_PosiOrBlueBG_Checkbox)*(CAM_N_System-1)*(1-RebateHardware*Distributeurs_Rabais),0)</f>
        <v>0</v>
      </c>
      <c r="L119" s="66">
        <f>IF(AND(QUOTE_Split_SoftwareHardware,CAM_PosiOrBlueBG_Checkbox,NOT(CAM_ClientWithOrWithoutScanner_ChkBox)),TableQCalcMain[[#This Row],[Detailed_Ext_Price]]/TableQCalcMain[[#This Row],[ShowDesc?]],0)</f>
        <v>0</v>
      </c>
      <c r="M119" s="66">
        <f>IF(AND(QUOTE_Split_SoftwareHardware,CAM_PosiOrBlueBG_Checkbox,NOT(CAM_ClientWithOrWithoutScanner_ChkBox)),TableQCalcMain[[#This Row],[Detailed_Ext_Price]],0)</f>
        <v>0</v>
      </c>
      <c r="N119" s="613"/>
      <c r="O119" s="614"/>
      <c r="P119" s="614"/>
      <c r="Q119" s="614"/>
      <c r="R119" s="614"/>
      <c r="S119" s="614"/>
      <c r="T119" s="613"/>
      <c r="U119" s="614"/>
      <c r="V119" s="614"/>
      <c r="W119" s="614"/>
      <c r="X119" s="614"/>
      <c r="Y119" s="614"/>
      <c r="Z119" s="614"/>
      <c r="AA119" s="614"/>
      <c r="AB119" s="614"/>
      <c r="AC119" s="614"/>
      <c r="AD119" s="614"/>
      <c r="AE119" s="614"/>
      <c r="AF119" s="614"/>
      <c r="AG119" s="614"/>
      <c r="AH119" s="614"/>
    </row>
    <row r="120" spans="2:34" x14ac:dyDescent="0.2">
      <c r="B120" s="717" t="s">
        <v>361</v>
      </c>
      <c r="C120" s="717" t="str">
        <f>IF(AND((QUOTE_Split_SoftwareHardware),N(C112)=0),C111,
IF(AND(QUOTE_Split_SoftwareHardware,NOT(CAM_ClientWithOrWithoutScanner_ChkBox)),C111,"")
)</f>
        <v/>
      </c>
      <c r="D120" s="717">
        <f>IF(AND((QUOTE_Split_SoftwareHardware),AND(NOT(SuperUser),N(D112)=0)),0,D111)</f>
        <v>0</v>
      </c>
      <c r="E120" s="681">
        <v>1</v>
      </c>
      <c r="F120" s="681">
        <v>0</v>
      </c>
      <c r="G120" s="681">
        <f>TableQCalcMain[[#This Row],[ShowDesc?]]*TableQCalcMain[[#This Row],[Software]]</f>
        <v>0</v>
      </c>
      <c r="H120" s="681">
        <f>TableQCalcMain[[#This Row],[ShowDesc?]]*TableQCalcMain[[#This Row],[Hardware]]</f>
        <v>0</v>
      </c>
      <c r="I120" s="717" t="str">
        <f>IF(AND((QUOTE_Split_SoftwareHardware),N(C112)=0),"","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Scanner Calibration, Instructions, TWAIN driver &amp; Technical support    </v>
      </c>
      <c r="J120" s="681" t="str">
        <f>""</f>
        <v/>
      </c>
      <c r="K120" s="681">
        <f>ROUND((IF(CAM_IndexScanner=3,LC_GenCalib_Drivers_Instr_Techsup,IF(CAM_IndexScanner=1,STD_GenCalib_Drivers_Instr_Techsup,LA_GenCalib_Drivers_Instr_Techsup)))
*(CAM_N_System-1)*(1-RebateCalibScanner*Distributeurs_Rabais),0)</f>
        <v>0</v>
      </c>
      <c r="L120" s="681" t="str">
        <f>IF(QUOTE_Split_SoftwareHardware,TableQCalcMain[[#This Row],[Detailed_Ext_Price]]/TableQCalcMain[[#This Row],[ShowDesc?]],"")</f>
        <v/>
      </c>
      <c r="M120" s="681">
        <f>IF(QUOTE_Split_SoftwareHardware,TableQCalcMain[[#This Row],[Detailed_Ext_Price]],0)</f>
        <v>0</v>
      </c>
      <c r="N120" s="613"/>
      <c r="O120" s="614"/>
      <c r="P120" s="614"/>
      <c r="Q120" s="614"/>
      <c r="R120" s="614"/>
      <c r="S120" s="614"/>
      <c r="T120" s="613"/>
      <c r="U120" s="614"/>
      <c r="V120" s="614"/>
      <c r="W120" s="614"/>
      <c r="X120" s="614"/>
      <c r="Y120" s="614"/>
      <c r="Z120" s="614"/>
      <c r="AA120" s="614"/>
      <c r="AB120" s="614"/>
      <c r="AC120" s="614"/>
      <c r="AD120" s="614"/>
      <c r="AE120" s="614"/>
      <c r="AF120" s="614"/>
      <c r="AG120" s="614"/>
      <c r="AH120" s="614"/>
    </row>
    <row r="121" spans="2:34" x14ac:dyDescent="0.2">
      <c r="B121" s="66" t="s">
        <v>356</v>
      </c>
      <c r="C121" s="591"/>
      <c r="D121" s="66"/>
      <c r="E121" s="66"/>
      <c r="F121" s="66"/>
      <c r="G121" s="66"/>
      <c r="H121" s="66"/>
      <c r="I121" s="66"/>
      <c r="J121" s="66" t="str">
        <f>""</f>
        <v/>
      </c>
      <c r="K121" s="66" t="str">
        <f>""</f>
        <v/>
      </c>
      <c r="L121" s="66" t="str">
        <f>""</f>
        <v/>
      </c>
      <c r="M121" s="66" t="str">
        <f>""</f>
        <v/>
      </c>
      <c r="N121" s="613"/>
      <c r="O121" s="614"/>
      <c r="P121" s="614"/>
      <c r="Q121" s="614"/>
      <c r="R121" s="614"/>
      <c r="S121" s="614"/>
      <c r="T121" s="613"/>
      <c r="U121" s="614"/>
      <c r="V121" s="614"/>
      <c r="W121" s="614"/>
      <c r="X121" s="614"/>
      <c r="Y121" s="614"/>
      <c r="Z121" s="614"/>
      <c r="AA121" s="614"/>
      <c r="AB121" s="614"/>
      <c r="AC121" s="614"/>
      <c r="AD121" s="614"/>
      <c r="AE121" s="614"/>
      <c r="AF121" s="614"/>
      <c r="AG121" s="614"/>
      <c r="AH121" s="614"/>
    </row>
    <row r="122" spans="2:34" x14ac:dyDescent="0.2">
      <c r="B122" s="607" t="s">
        <v>85</v>
      </c>
      <c r="C122" s="66">
        <f>CAM_N_UpgradeUpdate-1</f>
        <v>0</v>
      </c>
      <c r="D122" s="712">
        <f>IFERROR(IF(AND(D113=0,OR(WinCAM!#REF!&gt;0,WinCAM!#REF!&gt;0)),CAM_N_UpgradeUpdate-1,0),0)</f>
        <v>0</v>
      </c>
      <c r="E122" s="66">
        <v>1</v>
      </c>
      <c r="F122" s="66"/>
      <c r="G122" s="66">
        <f>TableQCalcMain[[#This Row],[ShowDesc?]]*TableQCalcMain[[#This Row],[Software]]</f>
        <v>0</v>
      </c>
      <c r="H122" s="66">
        <f>TableQCalcMain[[#This Row],[ShowDesc?]]*TableQCalcMain[[#This Row],[Hardware]]</f>
        <v>0</v>
      </c>
      <c r="I122" s="607" t="e">
        <f>IF(Francais,"Mise à jour de ","Update from ") &amp;
SUBSTITUTE(TRIM(INDEX(CAM_SoftwareList,CAM_IndexClientVersion))," "," " &amp; CAM_YearClient &amp; " ",1) &amp;
IF(Francais," à "," to ") &amp;
SUBSTITUTE(TRIM(INDEX(CAM_SoftwareList,CAM_IndexSoftware))," "," " &amp; CAM_YearMostRecent &amp; " ",1) &amp; " (32 &amp; 64-bit)"
&amp;
IF(QUOTE_Split_SoftwareHardware,IF(QUOTE_InternetDownload,IF(Francais, ", Téléchargement Internet", ", Internet download"),IF(Francais, ", Envoyé par transporteur", ", Shipped by courier")),IF(Francais," sur media USB (manuels PDF &amp; imprimés)"," on USB drive (PDF &amp; printed manuals)"))</f>
        <v>#REF!</v>
      </c>
      <c r="J122" s="66">
        <f>IF(CAM_N_System&gt;1,
"",WinCAM!I11)</f>
        <v>852349</v>
      </c>
      <c r="K122" s="66" t="str">
        <f>""</f>
        <v/>
      </c>
      <c r="L122" s="66" t="e">
        <f>ROUND(TableQCalcMain[[#This Row],[Extended_price]]/TableQCalcMain[[#This Row],[Real_Quantity]],2)</f>
        <v>#REF!</v>
      </c>
      <c r="M122" s="66" t="e">
        <f>ROUND(IF(Distributeurs_Rabais,WinCAM!#REF!,WinCAM!#REF!)
-IF(QUOTE_Split_SoftwareHardware,PrixUSBKey*(CAM_N_UpgradeUpdate-1),0),2)</f>
        <v>#REF!</v>
      </c>
      <c r="N122" s="613"/>
      <c r="O122" s="614"/>
      <c r="P122" s="614"/>
      <c r="Q122" s="614"/>
      <c r="R122" s="614"/>
      <c r="S122" s="614"/>
      <c r="T122" s="613"/>
      <c r="U122" s="614"/>
      <c r="V122" s="614"/>
      <c r="W122" s="614"/>
      <c r="X122" s="614"/>
      <c r="Y122" s="614"/>
      <c r="Z122" s="614"/>
      <c r="AA122" s="614"/>
      <c r="AB122" s="614"/>
      <c r="AC122" s="614"/>
      <c r="AD122" s="614"/>
      <c r="AE122" s="614"/>
      <c r="AF122" s="614"/>
      <c r="AG122" s="614"/>
      <c r="AH122" s="614"/>
    </row>
    <row r="123" spans="2:34" x14ac:dyDescent="0.2">
      <c r="B123" s="608" t="s">
        <v>345</v>
      </c>
      <c r="C123" s="66" t="str">
        <f>""</f>
        <v/>
      </c>
      <c r="D123" s="66">
        <f>IF(QUOTE_Split_SoftwareHardware,N($C$122),0)</f>
        <v>0</v>
      </c>
      <c r="E123" s="66">
        <v>1</v>
      </c>
      <c r="F123" s="66"/>
      <c r="G123" s="66">
        <f>TableQCalcMain[[#This Row],[ShowDesc?]]*TableQCalcMain[[#This Row],[Software]]</f>
        <v>0</v>
      </c>
      <c r="H123" s="66"/>
      <c r="I12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",13)</f>
        <v xml:space="preserve">         • Software &amp; Instructions documents (PDF &amp; printed)             </v>
      </c>
      <c r="J123" s="66" t="str">
        <f>""</f>
        <v/>
      </c>
      <c r="K123" s="66" t="str">
        <f>""</f>
        <v/>
      </c>
      <c r="L123" s="66" t="str">
        <f>""</f>
        <v/>
      </c>
      <c r="M123" s="66" t="str">
        <f>""</f>
        <v/>
      </c>
      <c r="N123" s="613"/>
      <c r="O123" s="614"/>
      <c r="P123" s="614"/>
      <c r="Q123" s="614"/>
      <c r="R123" s="614"/>
      <c r="S123" s="614"/>
      <c r="T123" s="613"/>
      <c r="U123" s="614"/>
      <c r="V123" s="614"/>
      <c r="W123" s="614"/>
      <c r="X123" s="614"/>
      <c r="Y123" s="614"/>
      <c r="Z123" s="614"/>
      <c r="AA123" s="614"/>
      <c r="AB123" s="614"/>
      <c r="AC123" s="614"/>
      <c r="AD123" s="614"/>
      <c r="AE123" s="614"/>
      <c r="AF123" s="614"/>
      <c r="AG123" s="614"/>
      <c r="AH123" s="614"/>
    </row>
    <row r="124" spans="2:34" x14ac:dyDescent="0.2">
      <c r="B124" s="681" t="str">
        <f>B120&amp;"Upd"</f>
        <v>CAM System Calib ManualUpd</v>
      </c>
      <c r="C124" s="681" t="str">
        <f>""</f>
        <v/>
      </c>
      <c r="D124" s="681">
        <f>IF(AND(D111&gt;0,D112=0),D116,0)</f>
        <v>0</v>
      </c>
      <c r="E124" s="681">
        <v>1</v>
      </c>
      <c r="F124" s="681">
        <v>0</v>
      </c>
      <c r="G124" s="681">
        <f>TableQCalcMain[[#This Row],[ShowDesc?]]*TableQCalcMain[[#This Row],[Software]]</f>
        <v>0</v>
      </c>
      <c r="H124" s="681">
        <f>TableQCalcMain[[#This Row],[ShowDesc?]]*TableQCalcMain[[#This Row],[Hardware]]</f>
        <v>0</v>
      </c>
      <c r="I124" s="681" t="str">
        <f>"         • " &amp; IF(Francais,
"Calibration Scanner, Instructions," &amp; IF(OR(LEFT(TableQCalcMain[[#This Row],[Variable / Product ID]],3)="RHI",LEFT(TableQCalcMain[[#This Row],[Variable / Product ID]],3)="SEE")," Didacticiel vidéo,","") &amp; " Pilote TWAIN " &amp; "&amp;" &amp; " Support Technique",
"Scanner Calibration, Instructions," &amp; IF(OR(LEFT(TableQCalcMain[[#This Row],[Variable / Product ID]],3)="RHI",LEFT(TableQCalcMain[[#This Row],[Variable / Product ID]],3)="SEE")," Video tutorial,","") &amp; " TWAIN driver " &amp; "&amp;" &amp; " Technical support")
&amp; IF(LEFT(TableQCalcMain[[#This Row],[Variable / Product ID]],3)="DEN",REPT(" ",5),
IF(LEFT(TableQCalcMain[[#This Row],[Variable / Product ID]],3)="RHI",REPT(" ",6),
IF(LEFT(TableQCalcMain[[#This Row],[Variable / Product ID]],3)="FOL",REPT(" ",7),
IF(LEFT(TableQCalcMain[[#This Row],[Variable / Product ID]],3)="SEE",REPT(" ",8),
IF(LEFT(TableQCalcMain[[#This Row],[Variable / Product ID]],3)="CAM",REPT(" ",9),"")))))</f>
        <v xml:space="preserve">         • Scanner Calibration, Instructions, TWAIN driver &amp; Technical support         </v>
      </c>
      <c r="J124" s="681" t="str">
        <f>J120</f>
        <v/>
      </c>
      <c r="K124" s="681">
        <f t="shared" ref="K124:M124" si="4">K120</f>
        <v>0</v>
      </c>
      <c r="L124" s="681" t="str">
        <f>IF(QUOTE_Split_SoftwareHardware,TableQCalcMain[[#This Row],[Detailed_Ext_Price]]/TableQCalcMain[[#This Row],[ShowDesc?]],"")</f>
        <v/>
      </c>
      <c r="M124" s="681">
        <f t="shared" si="4"/>
        <v>0</v>
      </c>
      <c r="N124" s="613"/>
      <c r="O124" s="614"/>
      <c r="P124" s="614"/>
      <c r="Q124" s="614"/>
      <c r="R124" s="614"/>
      <c r="S124" s="614"/>
      <c r="T124" s="613"/>
      <c r="U124" s="614"/>
      <c r="V124" s="614"/>
      <c r="W124" s="614"/>
      <c r="X124" s="614"/>
      <c r="Y124" s="614"/>
      <c r="Z124" s="614"/>
      <c r="AA124" s="614"/>
      <c r="AB124" s="614"/>
      <c r="AC124" s="614"/>
      <c r="AD124" s="614"/>
      <c r="AE124" s="614"/>
      <c r="AF124" s="614"/>
      <c r="AG124" s="614"/>
      <c r="AH124" s="614"/>
    </row>
    <row r="125" spans="2:34" x14ac:dyDescent="0.2">
      <c r="B125" s="66" t="s">
        <v>86</v>
      </c>
      <c r="C125" s="66"/>
      <c r="D125" s="66">
        <v>0</v>
      </c>
      <c r="E125" s="66"/>
      <c r="F125" s="66"/>
      <c r="G125" s="66">
        <f>TableQCalcMain[[#This Row],[ShowDesc?]]*TableQCalcMain[[#This Row],[Software]]</f>
        <v>0</v>
      </c>
      <c r="H125" s="66">
        <f>TableQCalcMain[[#This Row],[ShowDesc?]]*TableQCalcMain[[#This Row],[Hardware]]</f>
        <v>0</v>
      </c>
      <c r="I125" s="66">
        <v>0</v>
      </c>
      <c r="J125" s="66" t="str">
        <f>""</f>
        <v/>
      </c>
      <c r="K125" s="66" t="str">
        <f>""</f>
        <v/>
      </c>
      <c r="L125" s="66" t="str">
        <f>""</f>
        <v/>
      </c>
      <c r="M125" s="66" t="str">
        <f>""</f>
        <v/>
      </c>
      <c r="N125" s="613"/>
      <c r="O125" s="614"/>
      <c r="P125" s="614"/>
      <c r="Q125" s="614"/>
      <c r="R125" s="614"/>
      <c r="S125" s="614"/>
      <c r="T125" s="613"/>
      <c r="U125" s="614"/>
      <c r="V125" s="614"/>
      <c r="W125" s="614"/>
      <c r="X125" s="614"/>
      <c r="Y125" s="614"/>
      <c r="Z125" s="614"/>
      <c r="AA125" s="614"/>
      <c r="AB125" s="614"/>
      <c r="AC125" s="614"/>
      <c r="AD125" s="614"/>
      <c r="AE125" s="614"/>
      <c r="AF125" s="614"/>
      <c r="AG125" s="614"/>
      <c r="AH125" s="614"/>
    </row>
    <row r="126" spans="2:34" x14ac:dyDescent="0.2">
      <c r="B126" s="66" t="s">
        <v>87</v>
      </c>
      <c r="C126" s="66">
        <f>IF(TableQCalcMain[[#This Row],[Unit_Price]]&gt;0,TableQCalcMain[[#This Row],[ShowDesc?]],"")</f>
        <v>0</v>
      </c>
      <c r="D126" s="66">
        <f>IF(TableQCalcMain[[#This Row],[Unit_Price]]&gt;0,CAM_Option2-1,0)</f>
        <v>0</v>
      </c>
      <c r="E126" s="66"/>
      <c r="F126" s="66">
        <v>1</v>
      </c>
      <c r="G126" s="66">
        <f>TableQCalcMain[[#This Row],[ShowDesc?]]*TableQCalcMain[[#This Row],[Software]]</f>
        <v>0</v>
      </c>
      <c r="H126" s="66">
        <f>TableQCalcMain[[#This Row],[ShowDesc?]]*TableQCalcMain[[#This Row],[Hardware]]</f>
        <v>0</v>
      </c>
      <c r="I126" s="66" t="str">
        <f>WinCAM!$D$24 &amp; REPT(" ",1)</f>
        <v xml:space="preserve">12" x 16" PICK* Incl. 1 White, Blue Leaf Press &amp; Calibration Targets </v>
      </c>
      <c r="J126" s="66">
        <f>WinCAM!$I$24</f>
        <v>900691</v>
      </c>
      <c r="K126" s="66" t="str">
        <f>""</f>
        <v/>
      </c>
      <c r="L126" s="66">
        <f>ROUND(
IF(Distributeurs_Rabais,WinCAM!#REF!,WinCAM!G24),
2)</f>
        <v>231</v>
      </c>
      <c r="M126" s="66" t="str">
        <f>IFERROR(
IF(TableQCalcMain[[#This Row],[Unit_Price]]*TableQCalcMain[[#This Row],[Real_Quantity]]&gt;0,
TableQCalcMain[[#This Row],[Unit_Price]]*TableQCalcMain[[#This Row],[Real_Quantity]],""),"")</f>
        <v/>
      </c>
      <c r="N126" s="613"/>
      <c r="O126" s="614"/>
      <c r="P126" s="614"/>
      <c r="Q126" s="614"/>
      <c r="R126" s="614"/>
      <c r="S126" s="614"/>
      <c r="T126" s="613"/>
      <c r="U126" s="614"/>
      <c r="V126" s="614"/>
      <c r="W126" s="614"/>
      <c r="X126" s="614"/>
      <c r="Y126" s="614"/>
      <c r="Z126" s="614"/>
      <c r="AA126" s="614"/>
      <c r="AB126" s="614"/>
      <c r="AC126" s="614"/>
      <c r="AD126" s="614"/>
      <c r="AE126" s="614"/>
      <c r="AF126" s="614"/>
      <c r="AG126" s="614"/>
      <c r="AH126" s="614"/>
    </row>
    <row r="127" spans="2:34" x14ac:dyDescent="0.2">
      <c r="B127" s="66" t="s">
        <v>88</v>
      </c>
      <c r="C127" s="66">
        <f>IF(TableQCalcMain[[#This Row],[Unit_Price]]&gt;0,TableQCalcMain[[#This Row],[ShowDesc?]],0)</f>
        <v>0</v>
      </c>
      <c r="D127" s="66">
        <f>IF(TableQCalcMain[[#This Row],[Unit_Price]]&gt;0,CAM_Option3-1,0)</f>
        <v>0</v>
      </c>
      <c r="E127" s="66"/>
      <c r="F127" s="66">
        <v>1</v>
      </c>
      <c r="G127" s="66">
        <f>TableQCalcMain[[#This Row],[ShowDesc?]]*TableQCalcMain[[#This Row],[Software]]</f>
        <v>0</v>
      </c>
      <c r="H127" s="66">
        <f>TableQCalcMain[[#This Row],[ShowDesc?]]*TableQCalcMain[[#This Row],[Hardware]]</f>
        <v>0</v>
      </c>
      <c r="I127" s="66" t="str">
        <f>WinCAM!$D$25 &amp; REPT(" ",1)</f>
        <v xml:space="preserve">18" x 24" PICK* Incl. 1 White, Blue Leaf Press &amp; Calibration Targets </v>
      </c>
      <c r="J127" s="66">
        <f>WinCAM!$I$24</f>
        <v>900691</v>
      </c>
      <c r="K127" s="66" t="str">
        <f>""</f>
        <v/>
      </c>
      <c r="L127" s="66">
        <f>ROUND(
IF(Distributeurs_Rabais,WinCAM!#REF!,WinCAM!G25),
2)</f>
        <v>428</v>
      </c>
      <c r="M127" s="66" t="str">
        <f>IFERROR(
IF(TableQCalcMain[[#This Row],[Unit_Price]]*TableQCalcMain[[#This Row],[Real_Quantity]]&gt;0,
TableQCalcMain[[#This Row],[Unit_Price]]*TableQCalcMain[[#This Row],[Real_Quantity]],""),"")</f>
        <v/>
      </c>
      <c r="N127" s="613"/>
      <c r="O127" s="614"/>
      <c r="P127" s="614"/>
      <c r="Q127" s="614"/>
      <c r="R127" s="614"/>
      <c r="S127" s="614"/>
      <c r="T127" s="613"/>
      <c r="U127" s="614"/>
      <c r="V127" s="614"/>
      <c r="W127" s="614"/>
      <c r="X127" s="614"/>
      <c r="Y127" s="614"/>
      <c r="Z127" s="614"/>
      <c r="AA127" s="614"/>
      <c r="AB127" s="614"/>
      <c r="AC127" s="614"/>
      <c r="AD127" s="614"/>
      <c r="AE127" s="614"/>
      <c r="AF127" s="614"/>
      <c r="AG127" s="614"/>
      <c r="AH127" s="614"/>
    </row>
    <row r="128" spans="2:34" x14ac:dyDescent="0.2">
      <c r="B128" s="66" t="s">
        <v>223</v>
      </c>
      <c r="C128" s="66">
        <f>IF(TableQCalcMain[[#This Row],[Unit_Price]]&gt;0,TableQCalcMain[[#This Row],[ShowDesc?]],0)</f>
        <v>0</v>
      </c>
      <c r="D128" s="66">
        <f>IF(TableQCalcMain[[#This Row],[Unit_Price]]&gt;0,CAM_Option4-1,0)</f>
        <v>0</v>
      </c>
      <c r="E128" s="66"/>
      <c r="F128" s="66">
        <v>1</v>
      </c>
      <c r="G128" s="66">
        <f>TableQCalcMain[[#This Row],[ShowDesc?]]*TableQCalcMain[[#This Row],[Software]]</f>
        <v>0</v>
      </c>
      <c r="H128" s="66">
        <f>TableQCalcMain[[#This Row],[ShowDesc?]]*TableQCalcMain[[#This Row],[Hardware]]</f>
        <v>0</v>
      </c>
      <c r="I128" s="66" t="str">
        <f>WinCAM!D26 &amp; IF(Francais, " (pour scanner"," (for")&amp;IF(CAM_IndexScanner=1," STD4800","")&amp;IF(CAM_IndexScanner=2," LA2400","")&amp;IF(CAM_IndexScanner=3," LC4800","") &amp; IF(Francais, ")"," scanner)") &amp; REPT(" ",5)</f>
        <v xml:space="preserve">Blue Background for Color Analysis (for STD4800 scanner)     </v>
      </c>
      <c r="J128" s="66">
        <f>WinCAM!$I$24</f>
        <v>900691</v>
      </c>
      <c r="K128" s="66" t="str">
        <f>""</f>
        <v/>
      </c>
      <c r="L128" s="66">
        <f>ROUND(
IF(Distributeurs_Rabais,WinCAM!#REF!,WinCAM!G26),
2)</f>
        <v>26</v>
      </c>
      <c r="M128" s="66" t="str">
        <f>IFERROR(
IF(TableQCalcMain[[#This Row],[Unit_Price]]*TableQCalcMain[[#This Row],[Real_Quantity]]&gt;0,
TableQCalcMain[[#This Row],[Unit_Price]]*TableQCalcMain[[#This Row],[Real_Quantity]],""),"")</f>
        <v/>
      </c>
      <c r="N128" s="613"/>
      <c r="O128" s="614"/>
      <c r="P128" s="614"/>
      <c r="Q128" s="614"/>
      <c r="R128" s="614"/>
      <c r="S128" s="614"/>
      <c r="T128" s="613"/>
      <c r="U128" s="614"/>
      <c r="V128" s="614"/>
      <c r="W128" s="614"/>
      <c r="X128" s="614"/>
      <c r="Y128" s="614"/>
      <c r="Z128" s="614"/>
      <c r="AA128" s="614"/>
      <c r="AB128" s="614"/>
      <c r="AC128" s="614"/>
      <c r="AD128" s="614"/>
      <c r="AE128" s="614"/>
      <c r="AF128" s="614"/>
      <c r="AG128" s="614"/>
      <c r="AH128" s="614"/>
    </row>
    <row r="129" spans="2:34" x14ac:dyDescent="0.2">
      <c r="B129" s="684" t="s">
        <v>112</v>
      </c>
      <c r="C129" s="684" t="str">
        <f>""</f>
        <v/>
      </c>
      <c r="D129" s="684" t="e">
        <f>SUM(D111:D128)</f>
        <v>#REF!</v>
      </c>
      <c r="E129" s="684">
        <v>1</v>
      </c>
      <c r="F129" s="684">
        <v>1</v>
      </c>
      <c r="G129" s="684">
        <f>SUM(G111:G128)</f>
        <v>0</v>
      </c>
      <c r="H129" s="684">
        <f>SUM(H111:H128)</f>
        <v>0</v>
      </c>
      <c r="I129" s="684" t="str">
        <f>REPT(" ",6)</f>
        <v xml:space="preserve">      </v>
      </c>
      <c r="J129" s="684" t="str">
        <f>""</f>
        <v/>
      </c>
      <c r="K129" s="684" t="str">
        <f>""</f>
        <v/>
      </c>
      <c r="L129" s="684" t="str">
        <f>""</f>
        <v/>
      </c>
      <c r="M129" s="684" t="str">
        <f>""</f>
        <v/>
      </c>
      <c r="N129" s="613"/>
      <c r="O129" s="614"/>
      <c r="P129" s="614"/>
      <c r="Q129" s="614"/>
      <c r="R129" s="614"/>
      <c r="S129" s="614"/>
      <c r="T129" s="613"/>
      <c r="U129" s="614"/>
      <c r="V129" s="614"/>
      <c r="W129" s="614"/>
      <c r="X129" s="614"/>
      <c r="Y129" s="614"/>
      <c r="Z129" s="614"/>
      <c r="AA129" s="614"/>
      <c r="AB129" s="614"/>
      <c r="AC129" s="614"/>
      <c r="AD129" s="614"/>
      <c r="AE129" s="614"/>
      <c r="AF129" s="614"/>
      <c r="AG129" s="614"/>
      <c r="AH129" s="614"/>
    </row>
    <row r="130" spans="2:34" x14ac:dyDescent="0.2">
      <c r="B130" s="66" t="s">
        <v>89</v>
      </c>
      <c r="C130" s="66">
        <f>SCANOPY_N_System-1</f>
        <v>0</v>
      </c>
      <c r="D130" s="66">
        <f>IF(IFERROR(WinSCANOPY!$H$15+0,0)&gt;0,SCANOPY_N_System-1,0)</f>
        <v>0</v>
      </c>
      <c r="E130" s="66">
        <v>1</v>
      </c>
      <c r="F130" s="66"/>
      <c r="G130" s="66">
        <v>0</v>
      </c>
      <c r="H130" s="66">
        <v>0</v>
      </c>
      <c r="I130" s="66" t="str">
        <f>WinSCANOPY!E2 &amp; IF(Francais," Incluant:"," Including:")&amp; REPT(" ",5)</f>
        <v xml:space="preserve">WinSCANOPY™ Reg 2025 Software Including:     </v>
      </c>
      <c r="J130" s="66">
        <f>WinSCANOPY!I15</f>
        <v>903149</v>
      </c>
      <c r="K130" s="66" t="e">
        <f>TableQCalcMain[[#This Row],[Extended_price]]</f>
        <v>#REF!</v>
      </c>
      <c r="L130" s="66" t="e">
        <f>IF(OR(TableQCalcMain[[#This Row],[Real_Quantity]]=0,TableQCalcMain[[#This Row],[Extended_price]]=0),"",ROUND(TableQCalcMain[[#This Row],[Extended_price]]/TableQCalcMain[[#This Row],[Real_Quantity]],2))</f>
        <v>#REF!</v>
      </c>
      <c r="M130" s="712" t="e">
        <f>ROUND(IF(Distributeurs_Rabais,
WinSCANOPY!#REF! + IF(ISNUMBER(WinSCANOPY!#REF!),WinSCANOPY!#REF!,0),
WinSCANOPY!H12 + IF(ISNUMBER(WinSCANOPY!H15),WinSCANOPY!H15,0))+K132,0)</f>
        <v>#REF!</v>
      </c>
      <c r="N130" s="613"/>
      <c r="O130" s="614"/>
      <c r="P130" s="614"/>
      <c r="Q130" s="614"/>
      <c r="R130" s="614"/>
      <c r="S130" s="614"/>
      <c r="T130" s="613"/>
      <c r="U130" s="614"/>
      <c r="V130" s="614"/>
      <c r="W130" s="614"/>
      <c r="X130" s="614"/>
      <c r="Y130" s="614"/>
      <c r="Z130" s="614"/>
      <c r="AA130" s="614"/>
      <c r="AB130" s="614"/>
      <c r="AC130" s="614"/>
      <c r="AD130" s="614"/>
      <c r="AE130" s="614"/>
      <c r="AF130" s="614"/>
      <c r="AG130" s="614"/>
      <c r="AH130" s="614"/>
    </row>
    <row r="131" spans="2:34" x14ac:dyDescent="0.2">
      <c r="B131" s="687" t="s">
        <v>90</v>
      </c>
      <c r="C131" s="688">
        <f>IF(AND(NOT(QUOTE_Split_SoftwareHardware),N(D130)&gt;0),
IF(SCANOPY_N_Software-1=0,0,""),SCANOPY_N_Software-1)</f>
        <v>0</v>
      </c>
      <c r="D131" s="66">
        <f>TableQCalcMain[[#This Row],[Real_Quantity]]</f>
        <v>0</v>
      </c>
      <c r="E131" s="66">
        <v>1</v>
      </c>
      <c r="F131" s="66"/>
      <c r="G131" s="66">
        <f>N(TableQCalcMain[[#This Row],[ShowDesc?]])*TableQCalcMain[[#This Row],[Software]]</f>
        <v>0</v>
      </c>
      <c r="H131" s="66">
        <f>N(TableQCalcMain[[#This Row],[ShowDesc?]])*TableQCalcMain[[#This Row],[Hardware]]</f>
        <v>0</v>
      </c>
      <c r="I131" s="66" t="str">
        <f>IF(OR(SCANOPY_N_System=1,QUOTE_Split_SoftwareHardware),"","   • ") &amp; SUBSTITUTE(LEFT(INDEX(SCANOPY_SoftwareFullNames,SCANOPY_IndexSoftware),FIND(" ",INDEX(SCANOPY_SoftwareFullNames,SCANOPY_IndexSoftware),FIND(" ",INDEX(SCANOPY_SoftwareFullNames,SCANOPY_IndexSoftware))+1)),"™",IF(OR(SCANOPY_N_System=1,QUOTE_Split_SoftwareHardware),"™",""))&amp;
SCANOPY_YearMostRecent &amp; " " &amp; "&amp;" &amp; " XLScanopy" &amp; IF(OR(SCANOPY_IndexSoftware=1,SCANOPY_IndexSoftware=4)," Mini","") &amp;
IF(Francais," Logiciels"," Software")&amp; IF(QUOTE_Split_SoftwareHardware,IF(QUOTE_InternetDownload,IF(Francais, ", Téléchargement Internet", ", Internet download"),IF(Francais, ", Envoyé par transporteur", ", Shipped by courier")),IF(Francais," sur media USB (manuels PDF &amp; imprimés)"," on USB drive (PDF &amp; printed manuals)")) &amp;
IF(AND(QUOTE_SameClient=TRUE,SCANOPY_N_Software+SCANOPY_N_AlreadyHaveSoftware&gt;3),IF(Francais," (incl. rabais multi licenses"," (incl. multi licenses discount")&amp;
" "&amp;TEXT(ROUND((INDEX(SCANOPY_SoftwarePriceList,SCANOPY_IndexSoftware))*((SCANOPY_N_Software-1)-IF(SCANOPY_N_Software-1=0,0,SUM(MMULT(
  _xlfn.MUNIT(
   SCANOPY_N_Software-1),
    INDEX(TableLists[Column10],SCANOPY_N_AlreadyHaveSoftware-1+2):
    INDEX(TableLists[Column10],(SCANOPY_N_AlreadyHaveSoftware-1+1)+(SCANOPY_N_Software-1))
))))*(1-RebateSoftware*Distributeurs_Rabais),0),"0.00")&amp;")","")</f>
        <v>WinSCANOPY™ Reg 2025 &amp; XLScanopy Software on USB drive (PDF &amp; printed manuals)</v>
      </c>
      <c r="J131" s="66">
        <f>IF(AND(SCANOPY_N_System&gt;1,NOT(QUOTE_Split_SoftwareHardware)),
"",WinSCANOPY!I12)</f>
        <v>852349</v>
      </c>
      <c r="K131" s="66">
        <f>ROUND((INDEX(SCANOPY_SoftwarePriceList,SCANOPY_IndexSoftware))*
IF(SCANOPY_N_Software-1=0,0,SUM(MMULT(
  _xlfn.MUNIT(
   SCANOPY_N_Software-1),
    INDEX(TableLists[Column10],SCANOPY_N_AlreadyHaveSoftware-1+2):
    INDEX(TableLists[Column10],(SCANOPY_N_AlreadyHaveSoftware-1+1)+(SCANOPY_N_Software-1))
)))*(1-RebateSoftware*Distributeurs_Rabais)
-IF(QUOTE_Split_SoftwareHardware,PrixUSBKey*(SCANOPY_N_Software-1),0),0)</f>
        <v>0</v>
      </c>
      <c r="L131" s="66" t="str">
        <f>IF(OR(TableQCalcMain[[#This Row],[Real_Quantity]]=0,TableQCalcMain[[#This Row],[Extended_price]]=0),"",ROUND(TableQCalcMain[[#This Row],[Extended_price]]/TableQCalcMain[[#This Row],[Real_Quantity]],2))</f>
        <v/>
      </c>
      <c r="M131" s="683">
        <f>ROUND(
IF(SCANOPY_N_System&gt;1,
IF(NOT(QUOTE_Split_SoftwareHardware),IF(AND(SCANOPY_IndexScanner=2,SCANOPY_CaseAndMount),TableQCalcMain[[#This Row],[Detailed_Ext_Price]],0),TableQCalcMain[[#This Row],[Detailed_Ext_Price]]),
(INDEX(SCANOPY_SoftwarePriceList,SCANOPY_IndexSoftware))*
IF(SCANOPY_N_Software-1=0,0,SUM(MMULT(
  _xlfn.MUNIT(
   SCANOPY_N_Software-1),
    INDEX(TableLists[Column10],SCANOPY_N_AlreadyHaveSoftware-1+2):
    INDEX(TableLists[Column10],(SCANOPY_N_AlreadyHaveSoftware-1+1)+(SCANOPY_N_Software-1))
))
)*(1-RebateSoftware*Distributeurs_Rabais)
-IF(QUOTE_Split_SoftwareHardware,PrixUSBKey*(SCANOPY_N_Software-1),0)
),0)</f>
        <v>0</v>
      </c>
      <c r="N131" s="613"/>
      <c r="O131" s="614"/>
      <c r="P131" s="614"/>
      <c r="Q131" s="614"/>
      <c r="R131" s="614"/>
      <c r="S131" s="614"/>
      <c r="T131" s="613"/>
      <c r="U131" s="614"/>
      <c r="V131" s="614"/>
      <c r="W131" s="614"/>
      <c r="X131" s="614"/>
      <c r="Y131" s="614"/>
      <c r="Z131" s="614"/>
      <c r="AA131" s="614"/>
      <c r="AB131" s="614"/>
      <c r="AC131" s="614"/>
      <c r="AD131" s="614"/>
      <c r="AE131" s="614"/>
      <c r="AF131" s="614"/>
      <c r="AG131" s="614"/>
      <c r="AH131" s="614"/>
    </row>
    <row r="132" spans="2:34" x14ac:dyDescent="0.2">
      <c r="B132" s="710" t="s">
        <v>778</v>
      </c>
      <c r="C132" s="712" t="str">
        <f>""</f>
        <v/>
      </c>
      <c r="D132" s="712" t="e">
        <f>IF(AND(
C130&lt;&gt;0,C131=0,
NOT(QUOTE_Split_SoftwareHardware),
WinSCANOPY!#REF!&gt;0
),C143,0)+N("Si il y a un système sans software (update only) et que facture est pas split, afficher UpgradeUpdate en tant que Software dans système")</f>
        <v>#REF!</v>
      </c>
      <c r="E132" s="66"/>
      <c r="F132" s="66"/>
      <c r="G132" s="66"/>
      <c r="H132" s="66"/>
      <c r="I132" s="710" t="e">
        <f>"   • " &amp; I143</f>
        <v>#REF!</v>
      </c>
      <c r="J132" s="710">
        <f>J143</f>
        <v>852349</v>
      </c>
      <c r="K132" s="710" t="e">
        <f>IF(TableQCalcMain[[#This Row],[ShowDesc?]]=0,0,M143)</f>
        <v>#REF!</v>
      </c>
      <c r="L132" s="66"/>
      <c r="M132" s="66"/>
      <c r="N132" s="613"/>
      <c r="O132" s="614"/>
      <c r="P132" s="614"/>
      <c r="Q132" s="614"/>
      <c r="R132" s="614"/>
      <c r="S132" s="614"/>
      <c r="T132" s="613"/>
      <c r="U132" s="614"/>
      <c r="V132" s="614"/>
      <c r="W132" s="614"/>
      <c r="X132" s="614"/>
      <c r="Y132" s="614"/>
      <c r="Z132" s="614"/>
      <c r="AA132" s="614"/>
      <c r="AB132" s="614"/>
      <c r="AC132" s="614"/>
      <c r="AD132" s="614"/>
      <c r="AE132" s="614"/>
      <c r="AF132" s="614"/>
      <c r="AG132" s="614"/>
      <c r="AH132" s="614"/>
    </row>
    <row r="133" spans="2:34" x14ac:dyDescent="0.2">
      <c r="B133" s="608" t="s">
        <v>346</v>
      </c>
      <c r="C133" s="66" t="str">
        <f>""</f>
        <v/>
      </c>
      <c r="D133" s="66">
        <f>IF(QUOTE_Split_SoftwareHardware,N($C$131),0)</f>
        <v>0</v>
      </c>
      <c r="E133" s="66">
        <v>1</v>
      </c>
      <c r="F133" s="66"/>
      <c r="G133" s="66">
        <f>TableQCalcMain[[#This Row],[ShowDesc?]]*TableQCalcMain[[#This Row],[Software]]</f>
        <v>0</v>
      </c>
      <c r="H133" s="66"/>
      <c r="I133"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",14)</f>
        <v xml:space="preserve">         • Software &amp; Instructions documents (PDF &amp; printed)              </v>
      </c>
      <c r="J133" s="66" t="str">
        <f>""</f>
        <v/>
      </c>
      <c r="K133" s="66" t="str">
        <f>""</f>
        <v/>
      </c>
      <c r="L133" s="66" t="str">
        <f>""</f>
        <v/>
      </c>
      <c r="M133" s="66" t="str">
        <f>""</f>
        <v/>
      </c>
      <c r="N133" s="613"/>
      <c r="O133" s="614"/>
      <c r="P133" s="614"/>
      <c r="Q133" s="614"/>
      <c r="R133" s="614"/>
      <c r="S133" s="614"/>
      <c r="T133" s="613"/>
      <c r="U133" s="614"/>
      <c r="V133" s="614"/>
      <c r="W133" s="614"/>
      <c r="X133" s="614"/>
      <c r="Y133" s="614"/>
      <c r="Z133" s="614"/>
      <c r="AA133" s="614"/>
      <c r="AB133" s="614"/>
      <c r="AC133" s="614"/>
      <c r="AD133" s="614"/>
      <c r="AE133" s="614"/>
      <c r="AF133" s="614"/>
      <c r="AG133" s="614"/>
      <c r="AH133" s="614"/>
    </row>
    <row r="134" spans="2:34" x14ac:dyDescent="0.2">
      <c r="B134" s="66" t="s">
        <v>91</v>
      </c>
      <c r="C134" s="66">
        <f xml:space="preserve"> IF(OR(SCANOPY_IndexSoftware=1,SCANOPY_IndexSoftware=4),0,(SCANOPY_N_Software-1))</f>
        <v>0</v>
      </c>
      <c r="D134" s="66">
        <f>0* IF(OR(SCANOPY_IndexSoftware=1,SCANOPY_IndexSoftware=4),0,(SCANOPY_N_Software-1))</f>
        <v>0</v>
      </c>
      <c r="E134" s="66">
        <v>1</v>
      </c>
      <c r="F134" s="66"/>
      <c r="G134" s="66">
        <f>TableQCalcMain[[#This Row],[ShowDesc?]]*TableQCalcMain[[#This Row],[Software]]</f>
        <v>0</v>
      </c>
      <c r="H134" s="66">
        <f>TableQCalcMain[[#This Row],[ShowDesc?]]*TableQCalcMain[[#This Row],[Hardware]]</f>
        <v>0</v>
      </c>
      <c r="I134" s="66" t="str">
        <f>IF(SCANOPY_N_System=1,"","   • ")&amp;IF(Francais,"XLScanopy Logiciel pour l'Analyse des données de WinSCANOPY","XLScanopy Software for WinSCANOPY's data Analysis")</f>
        <v>XLScanopy Software for WinSCANOPY's data Analysis</v>
      </c>
      <c r="J134" s="66" t="str">
        <f>""</f>
        <v/>
      </c>
      <c r="K134" s="66" t="s">
        <v>171</v>
      </c>
      <c r="L134" s="66" t="str">
        <f>""</f>
        <v/>
      </c>
      <c r="M134" s="66" t="str">
        <f>""</f>
        <v/>
      </c>
      <c r="N134" s="613"/>
      <c r="O134" s="614"/>
      <c r="P134" s="614"/>
      <c r="Q134" s="614"/>
      <c r="R134" s="614"/>
      <c r="S134" s="614"/>
      <c r="T134" s="613"/>
      <c r="U134" s="614"/>
      <c r="V134" s="614"/>
      <c r="W134" s="614"/>
      <c r="X134" s="614"/>
      <c r="Y134" s="614"/>
      <c r="Z134" s="614"/>
      <c r="AA134" s="614"/>
      <c r="AB134" s="614"/>
      <c r="AC134" s="614"/>
      <c r="AD134" s="614"/>
      <c r="AE134" s="614"/>
      <c r="AF134" s="614"/>
      <c r="AG134" s="614"/>
      <c r="AH134" s="614"/>
    </row>
    <row r="135" spans="2:34" x14ac:dyDescent="0.2">
      <c r="B135" s="66" t="s">
        <v>93</v>
      </c>
      <c r="C135" s="66">
        <f xml:space="preserve"> IF(OR(SCANOPY_IndexSoftware=1,SCANOPY_IndexSoftware=4),(SCANOPY_N_Software-1),0)</f>
        <v>0</v>
      </c>
      <c r="D135" s="66">
        <f>0* IF(OR(SCANOPY_IndexSoftware=1,SCANOPY_IndexSoftware=4),(SCANOPY_N_Software-1),0)</f>
        <v>0</v>
      </c>
      <c r="E135" s="66">
        <v>1</v>
      </c>
      <c r="F135" s="66"/>
      <c r="G135" s="66">
        <f>TableQCalcMain[[#This Row],[ShowDesc?]]*TableQCalcMain[[#This Row],[Software]]</f>
        <v>0</v>
      </c>
      <c r="H135" s="66">
        <f>TableQCalcMain[[#This Row],[ShowDesc?]]*TableQCalcMain[[#This Row],[Hardware]]</f>
        <v>0</v>
      </c>
      <c r="I135" s="66" t="str">
        <f>IF(SCANOPY_N_System=1,"","   • ")&amp;IF(Francais,"XLScanopy Mini Logiciel pour l'Analyse des données de WinSCANOPY Mini","XLScanopy Mini Software for WinSCANOPY Mini's data Analysis")</f>
        <v>XLScanopy Mini Software for WinSCANOPY Mini's data Analysis</v>
      </c>
      <c r="J135" s="66" t="str">
        <f>""</f>
        <v/>
      </c>
      <c r="K135" s="66" t="s">
        <v>171</v>
      </c>
      <c r="L135" s="66" t="str">
        <f>""</f>
        <v/>
      </c>
      <c r="M135" s="66" t="str">
        <f>""</f>
        <v/>
      </c>
      <c r="N135" s="613"/>
      <c r="O135" s="614"/>
      <c r="P135" s="614"/>
      <c r="Q135" s="614"/>
      <c r="R135" s="614"/>
      <c r="S135" s="614"/>
      <c r="T135" s="613"/>
      <c r="U135" s="614"/>
      <c r="V135" s="614"/>
      <c r="W135" s="614"/>
      <c r="X135" s="614"/>
      <c r="Y135" s="614"/>
      <c r="Z135" s="614"/>
      <c r="AA135" s="614"/>
      <c r="AB135" s="614"/>
      <c r="AC135" s="614"/>
      <c r="AD135" s="614"/>
      <c r="AE135" s="614"/>
      <c r="AF135" s="614"/>
      <c r="AG135" s="614"/>
      <c r="AH135" s="614"/>
    </row>
    <row r="136" spans="2:34" x14ac:dyDescent="0.2">
      <c r="B136" s="66" t="s">
        <v>336</v>
      </c>
      <c r="C136" s="66">
        <f>N($C$131)+N($C$143)</f>
        <v>0</v>
      </c>
      <c r="D136" s="66">
        <f>IF(AND(QUOTE_Split_SoftwareHardware,TableQCalcMain[[#This Row],[Real_Quantity]]&gt;0),1,0)</f>
        <v>0</v>
      </c>
      <c r="E136" s="66">
        <f>IF(QUOTE_InternetDownload,0,1)</f>
        <v>1</v>
      </c>
      <c r="F136" s="66">
        <f>IF(QUOTE_InternetDownload,1,0)</f>
        <v>0</v>
      </c>
      <c r="G136" s="66">
        <f>TableQCalcMain[[#This Row],[ShowDesc?]]*TableQCalcMain[[#This Row],[Software]]</f>
        <v>0</v>
      </c>
      <c r="H136" s="66">
        <f>TableQCalcMain[[#This Row],[ShowDesc?]]*TableQCalcMain[[#This Row],[Hardware]]</f>
        <v>0</v>
      </c>
      <c r="I136" s="607" t="str">
        <f xml:space="preserve">   SUBSTITUTE(
   IF(Francais,
"Clé USB pour WinSOFTWARE" &amp; IF(TableQCalcMain[[#This Row],[Hardware]]=1," et documents d'Instructions (expédiés par transporteur)",""),
"USB drive for WinSOFTWARE" &amp; IF(TableQCalcMain[[#This Row],[Hardware]]=1," and Instructions documents (shipped by courier)","")),
   "WinSOFTWARE","Win" &amp;  LEFT(TableQCalcMain[[#This Row],[Variable / Product ID]],FIND("_",TableQCalcMain[[#This Row],[Variable / Product ID]])-1))</f>
        <v>USB drive for WinSCANOPY</v>
      </c>
      <c r="J136" s="66">
        <v>852351</v>
      </c>
      <c r="K136" s="66">
        <f>TableQCalcMain[[#This Row],[Extended_price]]</f>
        <v>0</v>
      </c>
      <c r="L136" s="66" t="str">
        <f>IF(OR(TableQCalcMain[[#This Row],[Real_Quantity]]=0,TableQCalcMain[[#This Row],[Extended_price]]=0),"",ROUND(TableQCalcMain[[#This Row],[Extended_price]]/TableQCalcMain[[#This Row],[Real_Quantity]],2))</f>
        <v/>
      </c>
      <c r="M136" s="66">
        <f>PrixUSBKey*TableQCalcMain[[#This Row],[Real_Quantity]]</f>
        <v>0</v>
      </c>
      <c r="N136" s="613"/>
      <c r="O136" s="614"/>
      <c r="P136" s="614"/>
      <c r="Q136" s="614"/>
      <c r="R136" s="614"/>
      <c r="S136" s="614"/>
      <c r="T136" s="613"/>
      <c r="U136" s="614"/>
      <c r="V136" s="614"/>
      <c r="W136" s="614"/>
      <c r="X136" s="614"/>
      <c r="Y136" s="614"/>
      <c r="Z136" s="614"/>
      <c r="AA136" s="614"/>
      <c r="AB136" s="614"/>
      <c r="AC136" s="614"/>
      <c r="AD136" s="614"/>
      <c r="AE136" s="614"/>
      <c r="AF136" s="614"/>
      <c r="AG136" s="614"/>
      <c r="AH136" s="614"/>
    </row>
    <row r="137" spans="2:34" x14ac:dyDescent="0.2">
      <c r="B137" s="66" t="s">
        <v>105</v>
      </c>
      <c r="C137" s="66" t="str">
        <f>IF(NOT(QUOTE_Split_SoftwareHardware),"",C130)</f>
        <v/>
      </c>
      <c r="D137" s="66">
        <f>IF(SCANOPY_Camera,$D$130,0)</f>
        <v>0</v>
      </c>
      <c r="E137" s="66"/>
      <c r="F137" s="66">
        <v>1</v>
      </c>
      <c r="G137" s="66">
        <f>TableQCalcMain[[#This Row],[ShowDesc?]]*TableQCalcMain[[#This Row],[Software]]</f>
        <v>0</v>
      </c>
      <c r="H137" s="66">
        <f>TableQCalcMain[[#This Row],[ShowDesc?]]*TableQCalcMain[[#This Row],[Hardware]]</f>
        <v>0</v>
      </c>
      <c r="I137" s="604" t="str">
        <f>IF(OR(SCANOPY_N_System=1,QUOTE_Split_SoftwareHardware),"","   • ")   &amp;
IF(SCANOPY_IndexScanner=1,
IF(Francais,"Caméra Compacte 24 MP DSLR &amp; Accessoires","24 MP Compact DSLR Camera &amp; Accessories"),
IF(Francais,"Caméra Compacte 24 MP Mini Point&amp;Shoot &amp; Accessoires","24 MP Mini Point&amp;Shoot Camera &amp; Accessories"))
 &amp; REPT(" ",72)&amp; "S/N:" &amp; SCANOPY_Serial</f>
        <v>24 MP Compact DSLR Camera &amp; Accessories                                                                        S/N:</v>
      </c>
      <c r="J137" s="66" t="str">
        <f>IF(QUOTE_Split_SoftwareHardware,852589,"")</f>
        <v/>
      </c>
      <c r="K137" s="683">
        <f>IF(Distributeurs_Rabais,
IF(AND(SCANOPY_N_Software=1,SCANOPY_N_UpgradeUpdate=1,NOT(SuperUser),SCANOPY_N_System&gt;1),0,
(IF(SCANOPY_Camera,
    IF(SCANOPY_IndexScanner=1,PrixSLR24SansCaseSansMount_Dist,PrixGP27SansCaseSansMount_Dist),
    IF(SCANOPY_IndexScanner=1,PrixSLR24SansCaseSansMountSansCam_Dist,PrixGP27SansCaseSansMountSansCam_Dist))
+IF(SCANOPY_CaseAndMount,
  IF(SCANOPY_IndexScanner=1,PrixSLR24CaseAndMountOnly_Dist,PrixGP27CaseAndMountOnly_Dist),
  0))
),
IF(AND(SCANOPY_N_Software=1,SCANOPY_N_UpgradeUpdate=1,NOT(SuperUser),SCANOPY_N_System&gt;1),"sold with software only",
(IF(SCANOPY_Camera,
    IF(SCANOPY_IndexScanner=1,PrixSLR24SansCaseSansMount,PrixGP27SansCaseSansMount),
    IF(SCANOPY_IndexScanner=1,PrixSLR24SansCaseSansMountSansCam,PrixGP27SansCaseSansMountSansCam))
+IF(SCANOPY_CaseAndMount,
  IF(SCANOPY_IndexScanner=1,PrixSLR24CaseAndMountOnly,PrixGP27CaseAndMountOnly),
  0))
))
*(SCANOPY_N_System-1)-K141-IF(NOT(QUOTE_Split_SoftwareHardware),N(K138),0)-N(K139)</f>
        <v>0</v>
      </c>
      <c r="L137" s="66">
        <f>IF(C134=0,0,ROUND(TableQCalcMain[[#This Row],[Extended_price]]/C134,2))</f>
        <v>0</v>
      </c>
      <c r="M137" s="66">
        <f>IF(NOT(QUOTE_Split_SoftwareHardware),0,TableQCalcMain[[#This Row],[Detailed_Ext_Price]])</f>
        <v>0</v>
      </c>
      <c r="N137" s="613"/>
      <c r="O137" s="614"/>
      <c r="P137" s="614"/>
      <c r="Q137" s="614"/>
      <c r="R137" s="614"/>
      <c r="S137" s="614"/>
      <c r="T137" s="613"/>
      <c r="U137" s="614"/>
      <c r="V137" s="614"/>
      <c r="W137" s="614"/>
      <c r="X137" s="614"/>
      <c r="Y137" s="614"/>
      <c r="Z137" s="614"/>
      <c r="AA137" s="614"/>
      <c r="AB137" s="614"/>
      <c r="AC137" s="614"/>
      <c r="AD137" s="614"/>
      <c r="AE137" s="614"/>
      <c r="AF137" s="614"/>
      <c r="AG137" s="614"/>
      <c r="AH137" s="614"/>
    </row>
    <row r="138" spans="2:34" ht="17" x14ac:dyDescent="0.2">
      <c r="B138" s="66" t="s">
        <v>106</v>
      </c>
      <c r="C138" s="66" t="str">
        <f>IF(AND(QUOTE_Split_SoftwareHardware,NOT(SCANOPY_Camera)),C130,"")</f>
        <v/>
      </c>
      <c r="D138" s="66">
        <f>IF(AND(SCANOPY_IndexScanner=2,NOT(SCANOPY_Camera)),0,$D$130)</f>
        <v>0</v>
      </c>
      <c r="E138" s="66"/>
      <c r="F138" s="66">
        <v>1</v>
      </c>
      <c r="G138" s="66">
        <f>TableQCalcMain[[#This Row],[ShowDesc?]]*TableQCalcMain[[#This Row],[Software]]</f>
        <v>0</v>
      </c>
      <c r="H138" s="66">
        <f>TableQCalcMain[[#This Row],[ShowDesc?]]*TableQCalcMain[[#This Row],[Hardware]]</f>
        <v>0</v>
      </c>
      <c r="I138" s="686" t="str">
        <f>IF(AND(QUOTE_Split_SoftwareHardware,NOT(SCANOPY_Camera)),"","         • ") &amp;
IF(Francais,
"Lentille fisheye avec angle de vue 180°" &amp; IF(SCANOPY_Camera,", 2 Batteries, Chargeur, Carte Mém. 64 GB, Manette" &amp; IF(SCANOPY_IndexScanner=1," 5m",""),""),
"180° FOV Fish-Eye lens" &amp; IF(SCANOPY_Camera,", 2 Batteries, Charger, 64 GB Mem. card, Remote control" &amp; IF(SCANOPY_IndexScanner=1," 5m",""),""))</f>
        <v xml:space="preserve">         • 180° FOV Fish-Eye lens, 2 Batteries, Charger, 64 GB Mem. card, Remote control 5m</v>
      </c>
      <c r="J138" s="66" t="str">
        <f>""</f>
        <v/>
      </c>
      <c r="K138" s="66">
        <f>IF(SCANOPY_IndexScanner=1,ROUND(PrixSLR24_Lentille*(SCANOPY_N_System-1)*(1-RebateHardware*Distributeurs_Rabais),0),"incl.")</f>
        <v>0</v>
      </c>
      <c r="L138" s="66">
        <f>IF(AND(QUOTE_Split_SoftwareHardware,NOT(SCANOPY_Camera)),TableQCalcMain[[#This Row],[Detailed_Ext_Price]]/TableQCalcMain[[#This Row],[ShowDesc?]],0)</f>
        <v>0</v>
      </c>
      <c r="M138" s="591" t="str">
        <f>IFERROR(
IF(TableQCalcMain[[#This Row],[Unit_Price]]*TableQCalcMain[[#This Row],[Real_Quantity]]&gt;0,
TableQCalcMain[[#This Row],[Unit_Price]]*TableQCalcMain[[#This Row],[Real_Quantity]],""),"")</f>
        <v/>
      </c>
      <c r="N138" s="613"/>
      <c r="O138" s="614"/>
      <c r="P138" s="614"/>
      <c r="Q138" s="614"/>
      <c r="R138" s="614"/>
      <c r="S138" s="614"/>
      <c r="T138" s="613"/>
      <c r="U138" s="614"/>
      <c r="V138" s="614"/>
      <c r="W138" s="614"/>
      <c r="X138" s="614"/>
      <c r="Y138" s="614"/>
      <c r="Z138" s="614"/>
      <c r="AA138" s="614"/>
      <c r="AB138" s="614"/>
      <c r="AC138" s="614"/>
      <c r="AD138" s="614"/>
      <c r="AE138" s="614"/>
      <c r="AF138" s="614"/>
      <c r="AG138" s="614"/>
      <c r="AH138" s="614"/>
    </row>
    <row r="139" spans="2:34" ht="17" x14ac:dyDescent="0.2">
      <c r="B139" s="66" t="s">
        <v>107</v>
      </c>
      <c r="C139" s="66" t="str">
        <f>IF(AND(QUOTE_Split_SoftwareHardware,SCANOPY_CaseAndMount,NOT(SCANOPY_Camera)),C130,"")</f>
        <v/>
      </c>
      <c r="D139" s="66">
        <f>IF(OR(SCANOPY_Camera,SCANOPY_CaseAndMount),$D$130,0)</f>
        <v>0</v>
      </c>
      <c r="E139" s="66"/>
      <c r="F139" s="66">
        <v>1</v>
      </c>
      <c r="G139" s="66">
        <f>TableQCalcMain[[#This Row],[ShowDesc?]]*TableQCalcMain[[#This Row],[Software]]</f>
        <v>0</v>
      </c>
      <c r="H139" s="66">
        <f>TableQCalcMain[[#This Row],[ShowDesc?]]*TableQCalcMain[[#This Row],[Hardware]]</f>
        <v>0</v>
      </c>
      <c r="I139" s="686" t="str">
        <f>IF(AND(QUOTE_Split_SoftwareHardware,NOT(SCANOPY_Camera)),"","         • ") &amp;
IF(SCANOPY_CaseAndMount,IF(Francais,
        IF(SCANOPY_IndexScanner=1,"O-Mount Autonivelant avec Bloqueur de soleil",IF(1=1,"O-Mount pour le système 24 MP Mini n'est pas disponible","Mini-O-Mount Autonivelant")),
        IF(SCANOPY_IndexScanner=1,"Self-Leveling O-Mount with Sunblocker",IF(1=1,"O-Mount for the 24 MP Mini system is not available","Self-Leveling Mini-O-Mount"))),
IF(SCANOPY_Camera,
IF(Francais,"Mini Trépied et Base à mise à niveau manuelle","Manual leveling Base and Mini Tripod"),""))</f>
        <v xml:space="preserve">         • Manual leveling Base and Mini Tripod</v>
      </c>
      <c r="J139" s="66" t="str">
        <f>""</f>
        <v/>
      </c>
      <c r="K139" s="66" t="str">
        <f>IF(AND(SCANOPY_CaseAndMount,NOT(SCANOPY_Camera)),
  IF(Distributeurs_Rabais,
IF(SCANOPY_IndexScanner=1,PrixSLR24CaseAndMountOnly_Dist,PrixGP27CaseAndMountOnly_Dist),
IF(SCANOPY_IndexScanner=1,PrixSLR24CaseAndMountOnly,PrixGP27CaseAndMountOnly))*
(SCANOPY_N_System-1),
  "incl.")</f>
        <v>incl.</v>
      </c>
      <c r="L139" s="66">
        <f>IF(QUOTE_Split_SoftwareHardware,TableQCalcMain[[#This Row],[Detailed_Ext_Price]]/TableQCalcMain[[#This Row],[ShowDesc?]],0)</f>
        <v>0</v>
      </c>
      <c r="M139" s="591" t="str">
        <f>IFERROR(
IF(TableQCalcMain[[#This Row],[Unit_Price]]*TableQCalcMain[[#This Row],[Real_Quantity]]&gt;0,
TableQCalcMain[[#This Row],[Unit_Price]]*TableQCalcMain[[#This Row],[Real_Quantity]],""),"")</f>
        <v/>
      </c>
      <c r="N139" s="613"/>
      <c r="O139" s="614"/>
      <c r="P139" s="614"/>
      <c r="Q139" s="614"/>
      <c r="R139" s="614"/>
      <c r="S139" s="614"/>
      <c r="T139" s="613"/>
      <c r="U139" s="614"/>
      <c r="V139" s="614"/>
      <c r="W139" s="614"/>
      <c r="X139" s="614"/>
      <c r="Y139" s="614"/>
      <c r="Z139" s="614"/>
      <c r="AA139" s="614"/>
      <c r="AB139" s="614"/>
      <c r="AC139" s="614"/>
      <c r="AD139" s="614"/>
      <c r="AE139" s="614"/>
      <c r="AF139" s="614"/>
      <c r="AG139" s="614"/>
      <c r="AH139" s="614"/>
    </row>
    <row r="140" spans="2:34" x14ac:dyDescent="0.2">
      <c r="B140" s="66" t="s">
        <v>108</v>
      </c>
      <c r="C140" s="66" t="str">
        <f>IF(AND(QUOTE_Split_SoftwareHardware,SCANOPY_CaseAndMount,NOT(SCANOPY_Camera)),C130,"")</f>
        <v/>
      </c>
      <c r="D140" s="66">
        <f>IF(OR(SCANOPY_Camera,SCANOPY_CaseAndMount),$D$130,0)</f>
        <v>0</v>
      </c>
      <c r="E140" s="66"/>
      <c r="F140" s="66">
        <v>1</v>
      </c>
      <c r="G140" s="66">
        <f>TableQCalcMain[[#This Row],[ShowDesc?]]*TableQCalcMain[[#This Row],[Software]]</f>
        <v>0</v>
      </c>
      <c r="H140" s="66">
        <f>TableQCalcMain[[#This Row],[ShowDesc?]]*TableQCalcMain[[#This Row],[Hardware]]</f>
        <v>0</v>
      </c>
      <c r="I140" s="686" t="str">
        <f>IF(AND(QUOTE_Split_SoftwareHardware,NOT(SCANOPY_Camera)),"","         • ") &amp;
IF(Francais,
"Valise de transport (Étanche à l'eau &amp; Résistante aux impacts)",
"Carrying Case (Waterproof &amp; Impact Resistant)"
)</f>
        <v xml:space="preserve">         • Carrying Case (Waterproof &amp; Impact Resistant)</v>
      </c>
      <c r="J140" s="66" t="str">
        <f>""</f>
        <v/>
      </c>
      <c r="K140" s="66" t="s">
        <v>171</v>
      </c>
      <c r="L140" s="66" t="str">
        <f>""</f>
        <v/>
      </c>
      <c r="M140" s="66" t="str">
        <f>""</f>
        <v/>
      </c>
      <c r="N140" s="613"/>
      <c r="O140" s="614"/>
      <c r="P140" s="614"/>
      <c r="Q140" s="614"/>
      <c r="R140" s="614"/>
      <c r="S140" s="614"/>
      <c r="T140" s="613"/>
      <c r="U140" s="614"/>
      <c r="V140" s="614"/>
      <c r="W140" s="614"/>
      <c r="X140" s="614"/>
      <c r="Y140" s="614"/>
      <c r="Z140" s="614"/>
      <c r="AA140" s="614"/>
      <c r="AB140" s="614"/>
      <c r="AC140" s="614"/>
      <c r="AD140" s="614"/>
      <c r="AE140" s="614"/>
      <c r="AF140" s="614"/>
      <c r="AG140" s="614"/>
      <c r="AH140" s="614"/>
    </row>
    <row r="141" spans="2:34" x14ac:dyDescent="0.2">
      <c r="B141" s="717" t="s">
        <v>732</v>
      </c>
      <c r="C141" s="717" t="str">
        <f>IF(AND((QUOTE_Split_SoftwareHardware),N(C131)=0),C130,
IF(AND(QUOTE_Split_SoftwareHardware,NOT(SCANOPY_Camera)),C130,"")
)</f>
        <v/>
      </c>
      <c r="D141" s="717">
        <f>IF(AND((QUOTE_Split_SoftwareHardware),AND(NOT(SuperUser),N(D131)=0)),0,D130)</f>
        <v>0</v>
      </c>
      <c r="E141" s="681">
        <v>1</v>
      </c>
      <c r="F141" s="681">
        <v>0</v>
      </c>
      <c r="G141" s="681">
        <f>TableQCalcMain[[#This Row],[ShowDesc?]]*TableQCalcMain[[#This Row],[Software]]</f>
        <v>0</v>
      </c>
      <c r="H141" s="681">
        <f>TableQCalcMain[[#This Row],[ShowDesc?]]*TableQCalcMain[[#This Row],[Hardware]]</f>
        <v>0</v>
      </c>
      <c r="I141" s="717" t="str">
        <f>IF(AND((QUOTE_Split_SoftwareHardware),N(C131)=0),"","         • ") &amp; IF(Francais,
IF(SCANOPY_Camera,"Caméra + Calibration Lentille, ","Calibration (de Caméra &amp; Lentille), ")&amp;"Manuels &amp; Support technique pour l'acquisition d'image avec WinSCANOPY",
IF(SCANOPY_Camera,"Camera + Lens Calibration, ","Calibration (of Camera &amp; Lens), ")&amp;"Manuals &amp; Technical support for image acquisition for WinSCANOPY")</f>
        <v xml:space="preserve">         • Camera + Lens Calibration, Manuals &amp; Technical support for image acquisition for WinSCANOPY</v>
      </c>
      <c r="J141" s="681" t="str">
        <f>""</f>
        <v/>
      </c>
      <c r="K141" s="681">
        <f>ROUND((IF(SCANOPY_IndexScanner=1,
PrixScanopySystemWithoutCamera-PrixSLR24_Lentille,
PrixScanopySystemWithoutCamera_Mini))
*(SCANOPY_N_System-1)*(1-RebateCalibScanopy*Distributeurs_Rabais),0)</f>
        <v>0</v>
      </c>
      <c r="L141" s="681" t="str">
        <f>IF(QUOTE_Split_SoftwareHardware,TableQCalcMain[[#This Row],[Detailed_Ext_Price]]/TableQCalcMain[[#This Row],[ShowDesc?]],"")</f>
        <v/>
      </c>
      <c r="M141" s="681">
        <f>IF(QUOTE_Split_SoftwareHardware,TableQCalcMain[[#This Row],[Detailed_Ext_Price]],0)</f>
        <v>0</v>
      </c>
      <c r="N141" s="613"/>
      <c r="O141" s="614"/>
      <c r="P141" s="614"/>
      <c r="Q141" s="614"/>
      <c r="R141" s="614"/>
      <c r="S141" s="614"/>
      <c r="T141" s="613"/>
      <c r="U141" s="614"/>
      <c r="V141" s="614"/>
      <c r="W141" s="614"/>
      <c r="X141" s="614"/>
      <c r="Y141" s="614"/>
      <c r="Z141" s="614"/>
      <c r="AA141" s="614"/>
      <c r="AB141" s="614"/>
      <c r="AC141" s="614"/>
      <c r="AD141" s="614"/>
      <c r="AE141" s="614"/>
      <c r="AF141" s="614"/>
      <c r="AG141" s="614"/>
      <c r="AH141" s="614"/>
    </row>
    <row r="142" spans="2:34" x14ac:dyDescent="0.2">
      <c r="B142" s="66" t="s">
        <v>764</v>
      </c>
      <c r="C142" s="66" t="str">
        <f>IF(NOT(QUOTE_Split_SoftwareHardware),"",C130)</f>
        <v/>
      </c>
      <c r="D142" s="66">
        <f>IF(SCANOPY_BigTripod,$D$130,0)</f>
        <v>0</v>
      </c>
      <c r="E142" s="66"/>
      <c r="F142" s="66">
        <v>1</v>
      </c>
      <c r="G142" s="66">
        <f>TableQCalcMain[[#This Row],[ShowDesc?]]*TableQCalcMain[[#This Row],[Software]]</f>
        <v>0</v>
      </c>
      <c r="H142" s="66">
        <f>TableQCalcMain[[#This Row],[ShowDesc?]]*TableQCalcMain[[#This Row],[Hardware]]</f>
        <v>0</v>
      </c>
      <c r="I142" s="66" t="str">
        <f>"         • " &amp; IF(Francais,"Trépied avec jambes auto-adaptatives","Tripod with Self-Adaptating Legs")</f>
        <v xml:space="preserve">         • Tripod with Self-Adaptating Legs</v>
      </c>
      <c r="J142" s="66" t="str">
        <f>""</f>
        <v/>
      </c>
      <c r="K142" s="66">
        <f>ROUND(IF(Distributeurs_Rabais,PrixBig_Tripod_Dist,PrixBig_Tripod),0)*(SCANOPY_N_System-1)</f>
        <v>0</v>
      </c>
      <c r="L142" s="66" t="str">
        <f>IF(QUOTE_Split_SoftwareHardware,TableQCalcMain[[#This Row],[Detailed_Ext_Price]]/TableQCalcMain[[#This Row],[ShowDesc?]],"")</f>
        <v/>
      </c>
      <c r="M142" s="66">
        <f>IF(NOT(QUOTE_Split_SoftwareHardware),0,TableQCalcMain[[#This Row],[Detailed_Ext_Price]])</f>
        <v>0</v>
      </c>
      <c r="N142" s="613"/>
      <c r="O142" s="614"/>
      <c r="P142" s="614"/>
      <c r="Q142" s="614"/>
      <c r="R142" s="614"/>
      <c r="S142" s="614"/>
      <c r="T142" s="613"/>
      <c r="U142" s="614"/>
      <c r="V142" s="614"/>
      <c r="W142" s="614"/>
      <c r="X142" s="614"/>
      <c r="Y142" s="614"/>
      <c r="Z142" s="614"/>
      <c r="AA142" s="614"/>
      <c r="AB142" s="614"/>
      <c r="AC142" s="614"/>
      <c r="AD142" s="614"/>
      <c r="AE142" s="614"/>
      <c r="AF142" s="614"/>
      <c r="AG142" s="614"/>
      <c r="AH142" s="614"/>
    </row>
    <row r="143" spans="2:34" x14ac:dyDescent="0.2">
      <c r="B143" s="607" t="s">
        <v>92</v>
      </c>
      <c r="C143" s="66">
        <f>SCANOPY_N_UpgradeUpdate-1</f>
        <v>0</v>
      </c>
      <c r="D143" s="712">
        <f>IFERROR(IF(AND(D132=0,OR(WinSCANOPY!#REF!&gt;0,WinSCANOPY!#REF!&gt;0)),SCANOPY_N_UpgradeUpdate-1,0),0)</f>
        <v>0</v>
      </c>
      <c r="E143" s="66">
        <v>1</v>
      </c>
      <c r="F143" s="66"/>
      <c r="G143" s="66">
        <f>TableQCalcMain[[#This Row],[ShowDesc?]]*TableQCalcMain[[#This Row],[Software]]</f>
        <v>0</v>
      </c>
      <c r="H143" s="66">
        <f>TableQCalcMain[[#This Row],[ShowDesc?]]*TableQCalcMain[[#This Row],[Hardware]]</f>
        <v>0</v>
      </c>
      <c r="I143" s="604" t="e">
        <f>IF(Francais,"Mise à jour de ","Update from ") &amp;
SUBSTITUTE(TRIM(INDEX(SCANOPY_SoftwareList,SCANOPY_IndexClientVersion))," "," " &amp; SCANOPY_YearClient &amp; " ",1) &amp;
IF(Francais," à "," to ") &amp;
SUBSTITUTE(TRIM(INDEX(SCANOPY_SoftwareList,SCANOPY_IndexSoftware))," "," " &amp; SCANOPY_YearMostRecent &amp; " ",1)  &amp; " " &amp; "&amp;" &amp; " XLScanopy" &amp; IF(OR(SCANOPY_IndexSoftware=1,SCANOPY_IndexSoftware=4)," Mini","")
&amp;
IF(QUOTE_Split_SoftwareHardware,IF(QUOTE_InternetDownload,IF(Francais, ", Téléchargement Internet", ", Internet download"),IF(Francais, ", Envoyé par transporteur", ", Shipped by courier")),IF(Francais," sur media USB (manuels PDF &amp; imprimés)"," on USB drive (PDF &amp; printed manuals)"))</f>
        <v>#REF!</v>
      </c>
      <c r="J143" s="66">
        <f>IF(SCANOPY_N_System&gt;1,
"",WinSCANOPY!I12)</f>
        <v>852349</v>
      </c>
      <c r="K143" s="66" t="str">
        <f>""</f>
        <v/>
      </c>
      <c r="L143" s="66" t="e">
        <f>ROUND(TableQCalcMain[[#This Row],[Extended_price]]/TableQCalcMain[[#This Row],[Real_Quantity]],2)</f>
        <v>#REF!</v>
      </c>
      <c r="M143" s="66" t="e">
        <f>ROUND(IF(Distributeurs_Rabais,WinSCANOPY!#REF!,WinSCANOPY!#REF!)
-IF(QUOTE_Split_SoftwareHardware,PrixUSBKey*(SCANOPY_N_UpgradeUpdate-1),0),2)</f>
        <v>#REF!</v>
      </c>
      <c r="N143" s="613"/>
      <c r="O143" s="614"/>
      <c r="P143" s="614"/>
      <c r="Q143" s="614"/>
      <c r="R143" s="614"/>
      <c r="S143" s="614"/>
      <c r="T143" s="613"/>
      <c r="U143" s="614"/>
      <c r="V143" s="614"/>
      <c r="W143" s="614"/>
      <c r="X143" s="614"/>
      <c r="Y143" s="614"/>
      <c r="Z143" s="614"/>
      <c r="AA143" s="614"/>
      <c r="AB143" s="614"/>
      <c r="AC143" s="614"/>
      <c r="AD143" s="614"/>
      <c r="AE143" s="614"/>
      <c r="AF143" s="614"/>
      <c r="AG143" s="614"/>
      <c r="AH143" s="614"/>
    </row>
    <row r="144" spans="2:34" x14ac:dyDescent="0.2">
      <c r="B144" s="608" t="s">
        <v>346</v>
      </c>
      <c r="C144" s="66" t="str">
        <f>""</f>
        <v/>
      </c>
      <c r="D144" s="66">
        <f>IF(QUOTE_Split_SoftwareHardware,N($C$143),0)</f>
        <v>0</v>
      </c>
      <c r="E144" s="66">
        <v>1</v>
      </c>
      <c r="F144" s="66"/>
      <c r="G144" s="66">
        <f>TableQCalcMain[[#This Row],[ShowDesc?]]*TableQCalcMain[[#This Row],[Software]]</f>
        <v>0</v>
      </c>
      <c r="H144" s="66"/>
      <c r="I144" s="66" t="str">
        <f>"         • " &amp; IF(AND(QUOTE_Split_SoftwareHardware,QUOTE_InternetDownload),
IF(Francais,"Logiciels et documents d'instructions (fichiers PDF)","Software &amp; Instructions documents (PDF files)"),
IF(Francais,"Logiciel et documents d'instructions (" &amp; IF(QUOTE_InternetDownload,"sur clé USB","PDF") &amp; " et imprimés)","Software &amp; Instructions documents (" &amp; IF(QUOTE_InternetDownload,"on USB Key","PDF") &amp; " &amp; printed)"))
&amp;REPT(" ",15)</f>
        <v xml:space="preserve">         • Software &amp; Instructions documents (PDF &amp; printed)               </v>
      </c>
      <c r="J144" s="66" t="str">
        <f>""</f>
        <v/>
      </c>
      <c r="K144" s="66" t="str">
        <f>""</f>
        <v/>
      </c>
      <c r="L144" s="66" t="str">
        <f>""</f>
        <v/>
      </c>
      <c r="M144" s="66" t="str">
        <f>""</f>
        <v/>
      </c>
      <c r="N144" s="613"/>
      <c r="O144" s="614"/>
      <c r="P144" s="614"/>
      <c r="Q144" s="614"/>
      <c r="R144" s="614"/>
      <c r="S144" s="614"/>
      <c r="T144" s="613"/>
      <c r="U144" s="614"/>
      <c r="V144" s="614"/>
      <c r="W144" s="614"/>
      <c r="X144" s="614"/>
      <c r="Y144" s="614"/>
      <c r="Z144" s="614"/>
      <c r="AA144" s="614"/>
      <c r="AB144" s="614"/>
      <c r="AC144" s="614"/>
      <c r="AD144" s="614"/>
      <c r="AE144" s="614"/>
      <c r="AF144" s="614"/>
      <c r="AG144" s="614"/>
      <c r="AH144" s="614"/>
    </row>
    <row r="145" spans="2:34" x14ac:dyDescent="0.2">
      <c r="B145" s="711" t="str">
        <f>B141&amp;"Upd"</f>
        <v>SCANOPY System Calib ManualUpd</v>
      </c>
      <c r="C145" s="683" t="str">
        <f>""</f>
        <v/>
      </c>
      <c r="D145" s="681">
        <f>IF(AND(D130&gt;0,D131=0),D136,0)</f>
        <v>0</v>
      </c>
      <c r="E145" s="683">
        <v>1</v>
      </c>
      <c r="F145" s="683">
        <v>0</v>
      </c>
      <c r="G145" s="683">
        <f>TableQCalcMain[[#This Row],[ShowDesc?]]*TableQCalcMain[[#This Row],[Software]]</f>
        <v>0</v>
      </c>
      <c r="H145" s="683">
        <f>TableQCalcMain[[#This Row],[ShowDesc?]]*TableQCalcMain[[#This Row],[Hardware]]</f>
        <v>0</v>
      </c>
      <c r="I145" s="685" t="str">
        <f>"         • " &amp; IF(Francais,
"Calibration Lentille, Manuel "&amp; "&amp;" &amp; " Support Technique",
"Lens Calibration, Manual " &amp; "&amp;" &amp; " Technical support")
&amp; IF(LEFT(TableQCalcMain[[#This Row],[Variable / Product ID]],3)="DEN",REPT(" ",0),
IF(LEFT(TableQCalcMain[[#This Row],[Variable / Product ID]],3)="RHI",REPT(" ",1),
IF(LEFT(TableQCalcMain[[#This Row],[Variable / Product ID]],3)="FOL",REPT(" ",2),
IF(LEFT(TableQCalcMain[[#This Row],[Variable / Product ID]],3)="SEE",REPT(" ",3),
IF(LEFT(TableQCalcMain[[#This Row],[Variable / Product ID]],3)="CAM",REPT(" ",4),"")))))</f>
        <v xml:space="preserve">         • Lens Calibration, Manual &amp; Technical support</v>
      </c>
      <c r="J145" s="683" t="str">
        <f>""</f>
        <v/>
      </c>
      <c r="K145" s="683">
        <f>K141</f>
        <v>0</v>
      </c>
      <c r="L145" s="683" t="str">
        <f>IF(QUOTE_Split_SoftwareHardware,TableQCalcMain[[#This Row],[Detailed_Ext_Price]]/TableQCalcMain[[#This Row],[ShowDesc?]],"")</f>
        <v/>
      </c>
      <c r="M145" s="683">
        <f>IF(QUOTE_Split_SoftwareHardware,TableQCalcMain[[#This Row],[Detailed_Ext_Price]],0)</f>
        <v>0</v>
      </c>
      <c r="N145" s="613"/>
      <c r="O145" s="614"/>
      <c r="P145" s="614"/>
      <c r="Q145" s="614"/>
      <c r="R145" s="614"/>
      <c r="S145" s="614"/>
      <c r="T145" s="613"/>
      <c r="U145" s="614"/>
      <c r="V145" s="614"/>
      <c r="W145" s="614"/>
      <c r="X145" s="614"/>
      <c r="Y145" s="614"/>
      <c r="Z145" s="614"/>
      <c r="AA145" s="614"/>
      <c r="AB145" s="614"/>
      <c r="AC145" s="614"/>
      <c r="AD145" s="614"/>
      <c r="AE145" s="614"/>
      <c r="AF145" s="614"/>
      <c r="AG145" s="614"/>
      <c r="AH145" s="614"/>
    </row>
    <row r="146" spans="2:34" x14ac:dyDescent="0.2">
      <c r="B146" s="679" t="s">
        <v>112</v>
      </c>
      <c r="C146" s="679" t="str">
        <f>""</f>
        <v/>
      </c>
      <c r="D146" s="679" t="e">
        <f>SUM(D130:D144)</f>
        <v>#REF!</v>
      </c>
      <c r="E146" s="679">
        <v>1</v>
      </c>
      <c r="F146" s="679">
        <v>0</v>
      </c>
      <c r="G146" s="679">
        <f>SUM(G130:G144)</f>
        <v>0</v>
      </c>
      <c r="H146" s="679">
        <v>0</v>
      </c>
      <c r="I146" s="679" t="str">
        <f>REPT(" ",7)</f>
        <v xml:space="preserve">       </v>
      </c>
      <c r="J146" s="679" t="str">
        <f>""</f>
        <v/>
      </c>
      <c r="K146" s="679" t="str">
        <f>""</f>
        <v/>
      </c>
      <c r="L146" s="679" t="str">
        <f>""</f>
        <v/>
      </c>
      <c r="M146" s="679" t="str">
        <f>""</f>
        <v/>
      </c>
      <c r="N146" s="613"/>
      <c r="O146" s="614"/>
      <c r="P146" s="614"/>
      <c r="Q146" s="614"/>
      <c r="R146" s="614"/>
      <c r="S146" s="614"/>
      <c r="T146" s="613"/>
      <c r="U146" s="614"/>
      <c r="V146" s="614"/>
      <c r="W146" s="614"/>
      <c r="X146" s="614"/>
      <c r="Y146" s="614"/>
      <c r="Z146" s="614"/>
      <c r="AA146" s="614"/>
      <c r="AB146" s="614"/>
      <c r="AC146" s="614"/>
      <c r="AD146" s="614"/>
      <c r="AE146" s="614"/>
      <c r="AF146" s="614"/>
      <c r="AG146" s="614"/>
      <c r="AH146" s="614"/>
    </row>
    <row r="147" spans="2:34" x14ac:dyDescent="0.2">
      <c r="B147" s="66" t="s">
        <v>736</v>
      </c>
      <c r="C147" s="66">
        <v>1</v>
      </c>
      <c r="D147" s="66" t="e">
        <f>IF(SUM(M3:M145)&gt;0,
IF(SUM(M3:M145)&lt;MinimumFee,1,0),
0)</f>
        <v>#REF!</v>
      </c>
      <c r="E147" s="66"/>
      <c r="F147" s="66">
        <v>1</v>
      </c>
      <c r="G147" s="66" t="e">
        <f>TableQCalcMain[[#This Row],[ShowDesc?]]*TableQCalcMain[[#This Row],[Software]]</f>
        <v>#REF!</v>
      </c>
      <c r="H147" s="66" t="e">
        <f>TableQCalcMain[[#This Row],[ShowDesc?]]*TableQCalcMain[[#This Row],[Hardware]]</f>
        <v>#REF!</v>
      </c>
      <c r="I147" s="66" t="str">
        <f>IF(Francais,"Frais de manutention","Handling fees")</f>
        <v>Handling fees</v>
      </c>
      <c r="J147" s="66" t="str">
        <f>""</f>
        <v/>
      </c>
      <c r="K147" s="66"/>
      <c r="L147" s="66"/>
      <c r="M147" s="66" t="e">
        <f>ROUND(MinimumFee-SUM(M3:M145),0)</f>
        <v>#REF!</v>
      </c>
      <c r="N147" s="613"/>
      <c r="O147" s="614"/>
      <c r="P147" s="614"/>
      <c r="Q147" s="614"/>
      <c r="R147" s="614"/>
      <c r="S147" s="614"/>
      <c r="T147" s="613"/>
      <c r="U147" s="614"/>
      <c r="V147" s="614"/>
      <c r="W147" s="614"/>
      <c r="X147" s="614"/>
      <c r="Y147" s="614"/>
      <c r="Z147" s="614"/>
      <c r="AA147" s="614"/>
      <c r="AB147" s="614"/>
      <c r="AC147" s="614"/>
      <c r="AD147" s="614"/>
      <c r="AE147" s="614"/>
      <c r="AF147" s="614"/>
      <c r="AG147" s="614"/>
      <c r="AH147" s="614"/>
    </row>
    <row r="148" spans="2:34" x14ac:dyDescent="0.2">
      <c r="B148" s="66" t="s">
        <v>117</v>
      </c>
      <c r="C148" s="66">
        <v>1</v>
      </c>
      <c r="D148" s="66">
        <f>NOT(ISNA(TableQCalcMain[[#This Row],[Description]]))*1</f>
        <v>0</v>
      </c>
      <c r="E148" s="66">
        <v>1</v>
      </c>
      <c r="F148" s="66"/>
      <c r="G148" s="66">
        <f>TableQCalcMain[[#This Row],[ShowDesc?]]*TableQCalcMain[[#This Row],[Software]]</f>
        <v>0</v>
      </c>
      <c r="H148" s="66">
        <f>TableQCalcMain[[#This Row],[ShowDesc?]]*TableQCalcMain[[#This Row],[Hardware]]</f>
        <v>0</v>
      </c>
      <c r="I148" s="66" t="e">
        <f t="shared" ref="I148:I154" si="5">I413</f>
        <v>#N/A</v>
      </c>
      <c r="J148" s="66" t="str">
        <f>""</f>
        <v/>
      </c>
      <c r="K148" s="66" t="str">
        <f>""</f>
        <v/>
      </c>
      <c r="L148" s="66" t="str">
        <f>""</f>
        <v/>
      </c>
      <c r="M148" s="66" t="e">
        <f>-ROUND(
INDEX(TableLists[Column12],K413)*
IF(Distributeurs_Rabais,INDEX(TableQCalcRabais[Dist price],MATCH(K413,TableQCalcRabais[Rank],0)),INDEX(TableQCalcRabais[XL+Win Price+Update/upgrade],MATCH(K413,TableQCalcRabais[Rank],0))),
0)</f>
        <v>#N/A</v>
      </c>
      <c r="N148" s="613"/>
      <c r="O148" s="614"/>
      <c r="P148" s="614"/>
      <c r="Q148" s="614"/>
      <c r="R148" s="614"/>
      <c r="S148" s="614"/>
      <c r="T148" s="613"/>
      <c r="U148" s="614"/>
      <c r="V148" s="614"/>
      <c r="W148" s="614"/>
      <c r="X148" s="614"/>
      <c r="Y148" s="614"/>
      <c r="Z148" s="614"/>
      <c r="AA148" s="614"/>
      <c r="AB148" s="614"/>
      <c r="AC148" s="614"/>
      <c r="AD148" s="614"/>
      <c r="AE148" s="614"/>
      <c r="AF148" s="614"/>
      <c r="AG148" s="614"/>
      <c r="AH148" s="614"/>
    </row>
    <row r="149" spans="2:34" x14ac:dyDescent="0.2">
      <c r="B149" s="66" t="s">
        <v>118</v>
      </c>
      <c r="C149" s="66">
        <v>1</v>
      </c>
      <c r="D149" s="66">
        <f>NOT(ISNA(TableQCalcMain[[#This Row],[Description]]))*1</f>
        <v>0</v>
      </c>
      <c r="E149" s="66">
        <v>1</v>
      </c>
      <c r="F149" s="66"/>
      <c r="G149" s="66">
        <f>TableQCalcMain[[#This Row],[ShowDesc?]]*TableQCalcMain[[#This Row],[Software]]</f>
        <v>0</v>
      </c>
      <c r="H149" s="66">
        <f>TableQCalcMain[[#This Row],[ShowDesc?]]*TableQCalcMain[[#This Row],[Hardware]]</f>
        <v>0</v>
      </c>
      <c r="I149" s="66" t="e">
        <f t="shared" si="5"/>
        <v>#N/A</v>
      </c>
      <c r="J149" s="66" t="str">
        <f>""</f>
        <v/>
      </c>
      <c r="K149" s="66" t="str">
        <f>""</f>
        <v/>
      </c>
      <c r="L149" s="66" t="str">
        <f>""</f>
        <v/>
      </c>
      <c r="M149" s="66" t="e">
        <f>-ROUND(
INDEX(TableLists[Column12],K414)*
IF(Distributeurs_Rabais,INDEX(TableQCalcRabais[Dist price],MATCH(K414,TableQCalcRabais[Rank],0)),INDEX(TableQCalcRabais[XL+Win Price+Update/upgrade],MATCH(K414,TableQCalcRabais[Rank],0))),
0)</f>
        <v>#N/A</v>
      </c>
      <c r="N149" s="613"/>
      <c r="O149" s="614"/>
      <c r="P149" s="614"/>
      <c r="Q149" s="614"/>
      <c r="R149" s="614"/>
      <c r="S149" s="614"/>
      <c r="T149" s="613"/>
      <c r="U149" s="614"/>
      <c r="V149" s="614"/>
      <c r="W149" s="614"/>
      <c r="X149" s="614"/>
      <c r="Y149" s="614"/>
      <c r="Z149" s="614"/>
      <c r="AA149" s="614"/>
      <c r="AB149" s="614"/>
      <c r="AC149" s="614"/>
      <c r="AD149" s="614"/>
      <c r="AE149" s="614"/>
      <c r="AF149" s="614"/>
      <c r="AG149" s="614"/>
      <c r="AH149" s="614"/>
    </row>
    <row r="150" spans="2:34" x14ac:dyDescent="0.2">
      <c r="B150" s="66" t="s">
        <v>119</v>
      </c>
      <c r="C150" s="66">
        <v>1</v>
      </c>
      <c r="D150" s="66">
        <f>NOT(ISNA(TableQCalcMain[[#This Row],[Description]]))*1</f>
        <v>0</v>
      </c>
      <c r="E150" s="66">
        <v>1</v>
      </c>
      <c r="F150" s="66"/>
      <c r="G150" s="66">
        <f>TableQCalcMain[[#This Row],[ShowDesc?]]*TableQCalcMain[[#This Row],[Software]]</f>
        <v>0</v>
      </c>
      <c r="H150" s="66">
        <f>TableQCalcMain[[#This Row],[ShowDesc?]]*TableQCalcMain[[#This Row],[Hardware]]</f>
        <v>0</v>
      </c>
      <c r="I150" s="66" t="e">
        <f t="shared" si="5"/>
        <v>#N/A</v>
      </c>
      <c r="J150" s="66" t="str">
        <f>""</f>
        <v/>
      </c>
      <c r="K150" s="66" t="str">
        <f>""</f>
        <v/>
      </c>
      <c r="L150" s="66" t="str">
        <f>""</f>
        <v/>
      </c>
      <c r="M150" s="66" t="e">
        <f>-ROUND(
INDEX(TableLists[Column12],K415)*
IF(Distributeurs_Rabais,INDEX(TableQCalcRabais[Dist price],MATCH(K415,TableQCalcRabais[Rank],0)),INDEX(TableQCalcRabais[XL+Win Price+Update/upgrade],MATCH(K415,TableQCalcRabais[Rank],0))),
0)</f>
        <v>#N/A</v>
      </c>
      <c r="N150" s="613"/>
      <c r="O150" s="613"/>
      <c r="P150" s="613"/>
      <c r="Q150" s="613"/>
      <c r="R150" s="613"/>
      <c r="S150" s="613"/>
      <c r="T150" s="613"/>
      <c r="U150" s="614"/>
      <c r="V150" s="614"/>
      <c r="W150" s="614"/>
      <c r="X150" s="614"/>
      <c r="Y150" s="614"/>
      <c r="Z150" s="614"/>
      <c r="AA150" s="614"/>
      <c r="AB150" s="614"/>
      <c r="AC150" s="614"/>
      <c r="AD150" s="614"/>
      <c r="AE150" s="614"/>
      <c r="AF150" s="614"/>
      <c r="AG150" s="614"/>
      <c r="AH150" s="614"/>
    </row>
    <row r="151" spans="2:34" x14ac:dyDescent="0.2">
      <c r="B151" s="66" t="s">
        <v>120</v>
      </c>
      <c r="C151" s="66">
        <v>1</v>
      </c>
      <c r="D151" s="66">
        <f>NOT(ISNA(TableQCalcMain[[#This Row],[Description]]))*1</f>
        <v>0</v>
      </c>
      <c r="E151" s="66">
        <v>1</v>
      </c>
      <c r="F151" s="66"/>
      <c r="G151" s="66">
        <f>TableQCalcMain[[#This Row],[ShowDesc?]]*TableQCalcMain[[#This Row],[Software]]</f>
        <v>0</v>
      </c>
      <c r="H151" s="66">
        <f>TableQCalcMain[[#This Row],[ShowDesc?]]*TableQCalcMain[[#This Row],[Hardware]]</f>
        <v>0</v>
      </c>
      <c r="I151" s="66" t="e">
        <f t="shared" si="5"/>
        <v>#N/A</v>
      </c>
      <c r="J151" s="66" t="str">
        <f>""</f>
        <v/>
      </c>
      <c r="K151" s="66" t="str">
        <f>""</f>
        <v/>
      </c>
      <c r="L151" s="66" t="str">
        <f>""</f>
        <v/>
      </c>
      <c r="M151" s="66" t="e">
        <f>-ROUND(
INDEX(TableLists[Column12],K416)*
IF(Distributeurs_Rabais,INDEX(TableQCalcRabais[Dist price],MATCH(K416,TableQCalcRabais[Rank],0)),INDEX(TableQCalcRabais[XL+Win Price+Update/upgrade],MATCH(K416,TableQCalcRabais[Rank],0))),
0)</f>
        <v>#N/A</v>
      </c>
      <c r="N151" s="613"/>
      <c r="O151" s="613"/>
      <c r="P151" s="613"/>
      <c r="Q151" s="613"/>
      <c r="R151" s="613"/>
      <c r="S151" s="613"/>
      <c r="T151" s="613"/>
      <c r="U151" s="614"/>
      <c r="V151" s="614"/>
      <c r="W151" s="614"/>
      <c r="X151" s="614"/>
      <c r="Y151" s="614"/>
      <c r="Z151" s="614"/>
      <c r="AA151" s="614"/>
      <c r="AB151" s="614"/>
      <c r="AC151" s="614"/>
      <c r="AD151" s="614"/>
      <c r="AE151" s="614"/>
      <c r="AF151" s="614"/>
      <c r="AG151" s="614"/>
      <c r="AH151" s="614"/>
    </row>
    <row r="152" spans="2:34" x14ac:dyDescent="0.2">
      <c r="B152" s="66" t="s">
        <v>121</v>
      </c>
      <c r="C152" s="66">
        <v>1</v>
      </c>
      <c r="D152" s="66">
        <f>NOT(ISNA(TableQCalcMain[[#This Row],[Description]]))*1</f>
        <v>0</v>
      </c>
      <c r="E152" s="66">
        <v>1</v>
      </c>
      <c r="F152" s="66"/>
      <c r="G152" s="66">
        <f>TableQCalcMain[[#This Row],[ShowDesc?]]*TableQCalcMain[[#This Row],[Software]]</f>
        <v>0</v>
      </c>
      <c r="H152" s="66">
        <f>TableQCalcMain[[#This Row],[ShowDesc?]]*TableQCalcMain[[#This Row],[Hardware]]</f>
        <v>0</v>
      </c>
      <c r="I152" s="66" t="e">
        <f t="shared" si="5"/>
        <v>#N/A</v>
      </c>
      <c r="J152" s="66" t="str">
        <f>""</f>
        <v/>
      </c>
      <c r="K152" s="66" t="str">
        <f>""</f>
        <v/>
      </c>
      <c r="L152" s="66" t="str">
        <f>""</f>
        <v/>
      </c>
      <c r="M152" s="66" t="e">
        <f>-ROUND(
INDEX(TableLists[Column12],K417)*
IF(Distributeurs_Rabais,INDEX(TableQCalcRabais[Dist price],MATCH(K417,TableQCalcRabais[Rank],0)),INDEX(TableQCalcRabais[XL+Win Price+Update/upgrade],MATCH(K417,TableQCalcRabais[Rank],0))),
0)</f>
        <v>#N/A</v>
      </c>
      <c r="N152" s="613"/>
      <c r="O152" s="613"/>
      <c r="P152" s="613"/>
      <c r="Q152" s="613"/>
      <c r="R152" s="613"/>
      <c r="S152" s="613"/>
      <c r="T152" s="613"/>
      <c r="U152" s="614"/>
      <c r="V152" s="614"/>
      <c r="W152" s="614"/>
      <c r="X152" s="614"/>
      <c r="Y152" s="614"/>
      <c r="Z152" s="614"/>
      <c r="AA152" s="614"/>
      <c r="AB152" s="614"/>
      <c r="AC152" s="614"/>
      <c r="AD152" s="614"/>
      <c r="AE152" s="614"/>
      <c r="AF152" s="614"/>
      <c r="AG152" s="614"/>
      <c r="AH152" s="614"/>
    </row>
    <row r="153" spans="2:34" x14ac:dyDescent="0.2">
      <c r="B153" s="66" t="s">
        <v>122</v>
      </c>
      <c r="C153" s="66">
        <v>1</v>
      </c>
      <c r="D153" s="66">
        <f>NOT(ISNA(TableQCalcMain[[#This Row],[Description]]))*1</f>
        <v>0</v>
      </c>
      <c r="E153" s="66">
        <v>1</v>
      </c>
      <c r="F153" s="66"/>
      <c r="G153" s="66">
        <f>TableQCalcMain[[#This Row],[ShowDesc?]]*TableQCalcMain[[#This Row],[Software]]</f>
        <v>0</v>
      </c>
      <c r="H153" s="66">
        <f>TableQCalcMain[[#This Row],[ShowDesc?]]*TableQCalcMain[[#This Row],[Hardware]]</f>
        <v>0</v>
      </c>
      <c r="I153" s="66" t="e">
        <f t="shared" si="5"/>
        <v>#N/A</v>
      </c>
      <c r="J153" s="66" t="str">
        <f>""</f>
        <v/>
      </c>
      <c r="K153" s="66" t="str">
        <f>""</f>
        <v/>
      </c>
      <c r="L153" s="66" t="str">
        <f>""</f>
        <v/>
      </c>
      <c r="M153" s="66" t="e">
        <f>-ROUND(
INDEX(TableLists[Column12],K418)*
IF(Distributeurs_Rabais,INDEX(TableQCalcRabais[Dist price],MATCH(K418,TableQCalcRabais[Rank],0)),INDEX(TableQCalcRabais[XL+Win Price+Update/upgrade],MATCH(K418,TableQCalcRabais[Rank],0))),
0)</f>
        <v>#N/A</v>
      </c>
      <c r="N153" s="613"/>
      <c r="O153" s="613"/>
      <c r="P153" s="613"/>
      <c r="Q153" s="613"/>
      <c r="R153" s="613"/>
      <c r="S153" s="613"/>
      <c r="T153" s="613"/>
      <c r="U153" s="614"/>
      <c r="V153" s="614"/>
      <c r="W153" s="614"/>
      <c r="X153" s="614"/>
      <c r="Y153" s="614"/>
      <c r="Z153" s="614"/>
      <c r="AA153" s="614"/>
      <c r="AB153" s="614"/>
      <c r="AC153" s="614"/>
      <c r="AD153" s="614"/>
      <c r="AE153" s="614"/>
      <c r="AF153" s="614"/>
      <c r="AG153" s="614"/>
      <c r="AH153" s="614"/>
    </row>
    <row r="154" spans="2:34" x14ac:dyDescent="0.2">
      <c r="B154" s="66" t="s">
        <v>123</v>
      </c>
      <c r="C154" s="66">
        <v>1</v>
      </c>
      <c r="D154" s="66">
        <f>NOT(ISNA(TableQCalcMain[[#This Row],[Description]]))*1</f>
        <v>0</v>
      </c>
      <c r="E154" s="66">
        <v>1</v>
      </c>
      <c r="F154" s="66"/>
      <c r="G154" s="66">
        <f>TableQCalcMain[[#This Row],[ShowDesc?]]*TableQCalcMain[[#This Row],[Software]]</f>
        <v>0</v>
      </c>
      <c r="H154" s="66">
        <f>TableQCalcMain[[#This Row],[ShowDesc?]]*TableQCalcMain[[#This Row],[Hardware]]</f>
        <v>0</v>
      </c>
      <c r="I154" s="66" t="e">
        <f t="shared" si="5"/>
        <v>#N/A</v>
      </c>
      <c r="J154" s="66" t="str">
        <f>""</f>
        <v/>
      </c>
      <c r="K154" s="66" t="str">
        <f>""</f>
        <v/>
      </c>
      <c r="L154" s="66" t="str">
        <f>""</f>
        <v/>
      </c>
      <c r="M154" s="66" t="e">
        <f>-ROUND(
INDEX(TableLists[Column12],K419)*
IF(Distributeurs_Rabais,INDEX(TableQCalcRabais[Dist price],MATCH(K419,TableQCalcRabais[Rank],0)),INDEX(TableQCalcRabais[XL+Win Price+Update/upgrade],MATCH(K419,TableQCalcRabais[Rank],0))),
0)</f>
        <v>#N/A</v>
      </c>
      <c r="N154" s="613"/>
      <c r="O154" s="613"/>
      <c r="P154" s="613"/>
      <c r="Q154" s="613"/>
      <c r="R154" s="613"/>
      <c r="S154" s="613"/>
      <c r="T154" s="613"/>
      <c r="U154" s="614"/>
      <c r="V154" s="614"/>
      <c r="W154" s="614"/>
      <c r="X154" s="614"/>
      <c r="Y154" s="614"/>
      <c r="Z154" s="614"/>
      <c r="AA154" s="614"/>
      <c r="AB154" s="614"/>
      <c r="AC154" s="614"/>
      <c r="AD154" s="614"/>
      <c r="AE154" s="614"/>
      <c r="AF154" s="614"/>
      <c r="AG154" s="614"/>
      <c r="AH154" s="614"/>
    </row>
    <row r="155" spans="2:34" x14ac:dyDescent="0.2">
      <c r="B155" s="679" t="s">
        <v>112</v>
      </c>
      <c r="C155" s="679" t="str">
        <f>""</f>
        <v/>
      </c>
      <c r="D155" s="679">
        <f>SUM(D148:D154)*D158</f>
        <v>0</v>
      </c>
      <c r="E155" s="679">
        <v>1</v>
      </c>
      <c r="F155" s="679">
        <v>0</v>
      </c>
      <c r="G155" s="679" t="e">
        <f>SUM(G145:G154)</f>
        <v>#REF!</v>
      </c>
      <c r="H155" s="679">
        <v>0</v>
      </c>
      <c r="I155" s="679" t="str">
        <f>REPT(" ",9)</f>
        <v xml:space="preserve">         </v>
      </c>
      <c r="J155" s="679" t="str">
        <f>""</f>
        <v/>
      </c>
      <c r="K155" s="679" t="str">
        <f>""</f>
        <v/>
      </c>
      <c r="L155" s="679" t="str">
        <f>""</f>
        <v/>
      </c>
      <c r="M155" s="679" t="str">
        <f>""</f>
        <v/>
      </c>
      <c r="N155" s="613"/>
      <c r="O155" s="613"/>
      <c r="P155" s="613"/>
      <c r="Q155" s="613"/>
      <c r="R155" s="613"/>
      <c r="S155" s="613"/>
      <c r="T155" s="613"/>
      <c r="U155" s="614"/>
      <c r="V155" s="614"/>
      <c r="W155" s="614"/>
      <c r="X155" s="614"/>
      <c r="Y155" s="614"/>
      <c r="Z155" s="614"/>
      <c r="AA155" s="614"/>
      <c r="AB155" s="614"/>
      <c r="AC155" s="614"/>
      <c r="AD155" s="614"/>
      <c r="AE155" s="614"/>
      <c r="AF155" s="614"/>
      <c r="AG155" s="614"/>
      <c r="AH155" s="614"/>
    </row>
    <row r="156" spans="2:34" x14ac:dyDescent="0.2">
      <c r="B156" s="720" t="s">
        <v>786</v>
      </c>
      <c r="C156" s="720" t="str">
        <f>""</f>
        <v/>
      </c>
      <c r="D156" s="720">
        <f>IF(QUOTE_Bureaucracy,1,0)</f>
        <v>0</v>
      </c>
      <c r="E156" s="720">
        <v>1</v>
      </c>
      <c r="F156" s="720">
        <v>0</v>
      </c>
      <c r="G156" s="681">
        <f>TableQCalcMain[[#This Row],[ShowDesc?]]*TableQCalcMain[[#This Row],[Software]]</f>
        <v>0</v>
      </c>
      <c r="H156" s="720"/>
      <c r="I156" s="720" t="str">
        <f>Bureau_Description</f>
        <v>Complex Contract Fees</v>
      </c>
      <c r="J156" s="66" t="str">
        <f>""</f>
        <v/>
      </c>
      <c r="K156" s="66"/>
      <c r="L156" s="66" t="str">
        <f>TEXT(Bureau_Percent,"0%") &amp; " Extra"</f>
        <v>50% Extra</v>
      </c>
      <c r="M156" s="66">
        <f>(Bureau_Percent)*IF(QUOTE_Split_SoftwareHardware,
(SUMIFS(Z3:Z33,U3:U33,"&lt;&gt;" &amp; Bureau_Description) + SUMIFS(AG3:AG33,AB3:AB33,"&lt;&gt;" &amp; Bureau_Description)),
SUMIFS(S3:S64,N3:N64,"&lt;&gt;" &amp; Bureau_Description))</f>
        <v>0</v>
      </c>
      <c r="N156" s="613"/>
      <c r="O156" s="613"/>
      <c r="P156" s="613"/>
      <c r="Q156" s="613"/>
      <c r="R156" s="613"/>
      <c r="S156" s="613"/>
      <c r="T156" s="613"/>
      <c r="U156" s="614"/>
      <c r="V156" s="614"/>
      <c r="W156" s="614"/>
      <c r="X156" s="614"/>
      <c r="Y156" s="614"/>
      <c r="Z156" s="614"/>
      <c r="AA156" s="614"/>
      <c r="AB156" s="614"/>
      <c r="AC156" s="614"/>
      <c r="AD156" s="614"/>
      <c r="AE156" s="614"/>
      <c r="AF156" s="614"/>
      <c r="AG156" s="614"/>
      <c r="AH156" s="614"/>
    </row>
    <row r="157" spans="2:34" x14ac:dyDescent="0.2">
      <c r="B157" s="679" t="s">
        <v>112</v>
      </c>
      <c r="C157" s="679" t="str">
        <f>""</f>
        <v/>
      </c>
      <c r="D157" s="679">
        <f>SUM(D156)*D156</f>
        <v>0</v>
      </c>
      <c r="E157" s="679">
        <v>1</v>
      </c>
      <c r="F157" s="679">
        <v>0</v>
      </c>
      <c r="G157" s="679" t="e">
        <f>SUM(G147:G156)</f>
        <v>#REF!</v>
      </c>
      <c r="H157" s="679">
        <v>0</v>
      </c>
      <c r="I157" s="679" t="str">
        <f>REPT(" ",10)</f>
        <v xml:space="preserve">          </v>
      </c>
      <c r="J157" s="679" t="str">
        <f>""</f>
        <v/>
      </c>
      <c r="K157" s="679" t="str">
        <f>""</f>
        <v/>
      </c>
      <c r="L157" s="679" t="str">
        <f>""</f>
        <v/>
      </c>
      <c r="M157" s="679" t="str">
        <f>""</f>
        <v/>
      </c>
      <c r="N157" s="613"/>
      <c r="O157" s="613"/>
      <c r="P157" s="613"/>
      <c r="Q157" s="613"/>
      <c r="R157" s="613"/>
      <c r="S157" s="613"/>
      <c r="T157" s="613"/>
      <c r="U157" s="614"/>
      <c r="V157" s="614"/>
      <c r="W157" s="614"/>
      <c r="X157" s="614"/>
      <c r="Y157" s="614"/>
      <c r="Z157" s="614"/>
      <c r="AA157" s="614"/>
      <c r="AB157" s="614"/>
      <c r="AC157" s="614"/>
      <c r="AD157" s="614"/>
      <c r="AE157" s="614"/>
      <c r="AF157" s="614"/>
      <c r="AG157" s="614"/>
      <c r="AH157" s="614"/>
    </row>
    <row r="158" spans="2:34" x14ac:dyDescent="0.2">
      <c r="B158" s="66" t="s">
        <v>416</v>
      </c>
      <c r="C158" s="66" t="str">
        <f>""</f>
        <v/>
      </c>
      <c r="D158" s="66">
        <f>IF(AND(QUOTE_Split_SoftwareHardware,QUOTE_InternetDownload),1,0)</f>
        <v>0</v>
      </c>
      <c r="E158" s="66">
        <v>1</v>
      </c>
      <c r="F158" s="66"/>
      <c r="G158" s="66">
        <f>TableQCalcMain[[#This Row],[ShowDesc?]]*TableQCalcMain[[#This Row],[Software]]</f>
        <v>0</v>
      </c>
      <c r="H158" s="66">
        <f>TableQCalcMain[[#This Row],[ShowDesc?]]*TableQCalcMain[[#This Row],[Hardware]]</f>
        <v>0</v>
      </c>
      <c r="I158" s="66" t="str">
        <f>IF(Francais,
"Rien n'est expédié par transporteur, l'acheteur est responsable du paiement des taxes locales, des droits de douane et d'autres frais locaux potentiels s'ils s'appliquent.",
"Nothing is shipped by courier, buyer is responsible to pay local taxes, customs and local fees if these apply.")</f>
        <v>Nothing is shipped by courier, buyer is responsible to pay local taxes, customs and local fees if these apply.</v>
      </c>
      <c r="J158" s="66" t="str">
        <f>""</f>
        <v/>
      </c>
      <c r="K158" s="66" t="str">
        <f>""</f>
        <v/>
      </c>
      <c r="L158" s="66" t="str">
        <f>""</f>
        <v/>
      </c>
      <c r="M158" s="66" t="str">
        <f>""</f>
        <v/>
      </c>
      <c r="N158" s="613"/>
      <c r="O158" s="613"/>
      <c r="P158" s="613"/>
      <c r="Q158" s="613"/>
      <c r="R158" s="613"/>
      <c r="S158" s="613"/>
      <c r="T158" s="613"/>
      <c r="U158" s="614"/>
      <c r="V158" s="614"/>
      <c r="W158" s="614"/>
      <c r="X158" s="614"/>
      <c r="Y158" s="614"/>
      <c r="Z158" s="614"/>
      <c r="AA158" s="614"/>
      <c r="AB158" s="614"/>
      <c r="AC158" s="614"/>
      <c r="AD158" s="614"/>
      <c r="AE158" s="614"/>
      <c r="AF158" s="614"/>
      <c r="AG158" s="614"/>
      <c r="AH158" s="614"/>
    </row>
    <row r="159" spans="2:34" x14ac:dyDescent="0.2">
      <c r="B159" s="66" t="s">
        <v>417</v>
      </c>
      <c r="C159" s="66" t="str">
        <f>""</f>
        <v/>
      </c>
      <c r="D159" s="66">
        <f>IF(AND(QUOTE_Split_SoftwareHardware,QUOTE_InternetDownload),1,0)</f>
        <v>0</v>
      </c>
      <c r="E159" s="66">
        <v>1</v>
      </c>
      <c r="F159" s="66"/>
      <c r="G159" s="66">
        <f>TableQCalcMain[[#This Row],[ShowDesc?]]*TableQCalcMain[[#This Row],[Software]]</f>
        <v>0</v>
      </c>
      <c r="H159" s="66">
        <f>TableQCalcMain[[#This Row],[ShowDesc?]]*TableQCalcMain[[#This Row],[Hardware]]</f>
        <v>0</v>
      </c>
      <c r="I159" s="66" t="str">
        <f>IF(Francais,
"Instruments Regent ne sait pas si ces frais doivent être payés ou non, ou à combien ils s'élèvent.",
"Regent Instruments isn't aware if such fees should be paid or not, and if so, how much they are.")</f>
        <v>Regent Instruments isn't aware if such fees should be paid or not, and if so, how much they are.</v>
      </c>
      <c r="J159" s="66" t="str">
        <f>""</f>
        <v/>
      </c>
      <c r="K159" s="66" t="str">
        <f>""</f>
        <v/>
      </c>
      <c r="L159" s="66" t="str">
        <f>""</f>
        <v/>
      </c>
      <c r="M159" s="66" t="str">
        <f>""</f>
        <v/>
      </c>
      <c r="N159" s="613"/>
      <c r="O159" s="613"/>
      <c r="P159" s="613"/>
      <c r="Q159" s="613"/>
      <c r="R159" s="613"/>
      <c r="S159" s="613"/>
      <c r="T159" s="613"/>
      <c r="U159" s="614"/>
      <c r="V159" s="614"/>
      <c r="W159" s="614"/>
      <c r="X159" s="614"/>
      <c r="Y159" s="614"/>
      <c r="Z159" s="614"/>
      <c r="AA159" s="614"/>
      <c r="AB159" s="614"/>
      <c r="AC159" s="614"/>
      <c r="AD159" s="614"/>
      <c r="AE159" s="614"/>
      <c r="AF159" s="614"/>
      <c r="AG159" s="614"/>
      <c r="AH159" s="614"/>
    </row>
    <row r="179" spans="2:2" x14ac:dyDescent="0.2">
      <c r="B179" s="14"/>
    </row>
    <row r="180" spans="2:2" x14ac:dyDescent="0.2">
      <c r="B180" s="14"/>
    </row>
    <row r="181" spans="2:2" x14ac:dyDescent="0.2">
      <c r="B181" s="14"/>
    </row>
    <row r="182" spans="2:2" x14ac:dyDescent="0.2">
      <c r="B182" s="14"/>
    </row>
    <row r="337" spans="11:14" x14ac:dyDescent="0.2">
      <c r="K337" s="442"/>
      <c r="M337" s="442"/>
      <c r="N337" s="442"/>
    </row>
    <row r="338" spans="11:14" x14ac:dyDescent="0.2">
      <c r="N338" s="417"/>
    </row>
    <row r="396" spans="2:21" ht="21" x14ac:dyDescent="0.25">
      <c r="I396" s="605" t="s">
        <v>383</v>
      </c>
    </row>
    <row r="397" spans="2:21" x14ac:dyDescent="0.2">
      <c r="B397" t="s">
        <v>362</v>
      </c>
    </row>
    <row r="398" spans="2:21" x14ac:dyDescent="0.2">
      <c r="B398" t="s">
        <v>27</v>
      </c>
      <c r="C398" t="s">
        <v>28</v>
      </c>
      <c r="D398" t="s">
        <v>35</v>
      </c>
      <c r="E398" t="s">
        <v>14</v>
      </c>
      <c r="F398" t="s">
        <v>264</v>
      </c>
      <c r="G398" t="s">
        <v>265</v>
      </c>
      <c r="H398" t="s">
        <v>266</v>
      </c>
      <c r="I398" t="s">
        <v>0</v>
      </c>
      <c r="J398" t="s">
        <v>13</v>
      </c>
      <c r="K398" t="s">
        <v>132</v>
      </c>
      <c r="L398" t="s">
        <v>36</v>
      </c>
      <c r="M398" t="s">
        <v>37</v>
      </c>
      <c r="N398" t="s">
        <v>33</v>
      </c>
      <c r="O398" s="17" t="s">
        <v>109</v>
      </c>
      <c r="P398" s="17" t="s">
        <v>129</v>
      </c>
      <c r="Q398" t="s">
        <v>34</v>
      </c>
      <c r="R398" t="s">
        <v>39</v>
      </c>
      <c r="S398" t="s">
        <v>40</v>
      </c>
      <c r="T398" t="s">
        <v>433</v>
      </c>
      <c r="U398" t="s">
        <v>725</v>
      </c>
    </row>
    <row r="399" spans="2:21" x14ac:dyDescent="0.2">
      <c r="B399" t="s">
        <v>363</v>
      </c>
      <c r="C399">
        <f>IF(N("Est 1 si plus d'un produit")+SUM(IF(WinRHIZO!H2&gt;0,1,0),IF(WinCAM!H2&gt;0,1,0),
IF(WinRHIZOTron!H2&gt;0,1,0),IF(WinDENDRO!H2&gt;0,1,0),
IF(WinSEEDLE!H2&gt;0,1,0),IF(WinCELL!H2&gt;0,1,0),
IF(WinFOLIA!H2&gt;0,1,0),IF(WinSCANOPY!H2&gt;0,1,0))&gt;1,1,0)</f>
        <v>0</v>
      </c>
      <c r="D399">
        <f>IF(C399&gt;0,1,0)</f>
        <v>0</v>
      </c>
      <c r="I399" t="str">
        <f>IF(Francais,
"Système d'analyse d'image pour l'analyse de plantes végétales",
"Image analysis system for vegetal plants analysis")</f>
        <v>Image analysis system for vegetal plants analysis</v>
      </c>
      <c r="J399">
        <v>903149</v>
      </c>
      <c r="K399">
        <f>TableQCalcComInv[[#This Row],[Extended price]]</f>
        <v>0</v>
      </c>
      <c r="L399">
        <f>TableQCalcComInv[[#This Row],[Extended price]]</f>
        <v>0</v>
      </c>
      <c r="M399">
        <f>IF(Distributeurs_Rabais,
SUM(WinRHIZO!#REF!,WinRHIZOTron!#REF!, WinSEEDLE!#REF!, WinFOLIA!#REF!, WinCAM!#REF!,WinDENDRO!#REF!,WinCELL!#REF!, WinSCANOPY!#REF!),
SUM(WinRHIZO!H2,WinRHIZOTron!H2, WinSEEDLE!H2, WinFOLIA!H2, WinCAM!H2,WinDENDRO!H2,WinCELL!H2, WinSCANOPY!H2)
)+SUMIF(M148:M154,"&lt;&gt;#N/A")</f>
        <v>0</v>
      </c>
      <c r="N399" t="e">
        <f>IF(TableQCalcComInv[[#This Row],[HowManyHardwareBought]]&gt;0,
IF(TableQCalcComInv[[#This Row],[RowNumOfShownItems_COM]]&lt;&gt;"",INDEX(TableQCalcComInv[Description],TableQCalcComInv[[#This Row],[RowNumOfShownItems_COM]]),""),
SUBSTITUTE(SUBSTITUTE(
IF(TableQCalcComInv[[#This Row],[RowNumOfShownItems_COM]]&lt;&gt;"",INDEX(TableQCalcComInv[Description],TableQCalcComInv[[#This Row],[RowNumOfShownItems_COM]]),""),"Système","Logiciel"),"system","software")
)</f>
        <v>#REF!</v>
      </c>
      <c r="O399" t="str">
        <f>IF(TableQCalcComInv[[#This Row],[RowNumOfShownItems_COM]]&lt;&gt;"",INDEX(TableQCalcComInv[Harmonized Code],TableQCalcComInv[[#This Row],[RowNumOfShownItems_COM]]),"")</f>
        <v/>
      </c>
      <c r="P399" s="616" t="str">
        <f>IF(TableQCalcComInv[[#This Row],[RowNumOfShownItems_COM]]&lt;&gt;"",INDEX(TableQCalcComInv[Detailed Ext Price],TableQCalcComInv[[#This Row],[RowNumOfShownItems_COM]]),"")</f>
        <v/>
      </c>
      <c r="Q399" t="str">
        <f>IF(TableQCalcComInv[[#This Row],[RowNumOfShownItems_COM]]&lt;&gt;"",INDEX(TableQCalcComInv[Real Quantity],TableQCalcComInv[[#This Row],[RowNumOfShownItems_COM]]),"")</f>
        <v/>
      </c>
      <c r="R399" s="616" t="str">
        <f>IF(TableQCalcComInv[[#This Row],[RowNumOfShownItems_COM]]&lt;&gt;"",INDEX(TableQCalcComInv[Unit Price],TableQCalcComInv[[#This Row],[RowNumOfShownItems_COM]]),"")</f>
        <v/>
      </c>
      <c r="S399" s="616" t="str">
        <f>IF(TableQCalcComInv[[#This Row],[RowNumOfShownItems_COM]]&lt;&gt;"",INDEX(TableQCalcComInv[Extended price],TableQCalcComInv[[#This Row],[RowNumOfShownItems_COM]]),"")</f>
        <v/>
      </c>
      <c r="T399" t="str">
        <f t="array" ref="T399">IFERROR(MATCH(0,COUNTIF(N398:$N$398,TableQCalcComInv[Description])+IF(TableQCalcComInv[ShowDesc?]=0,1,0),0),"")</f>
        <v/>
      </c>
      <c r="U399" t="e">
        <f>SUMIF(TableQCalcMain[Variable / Product ID],"&lt;&gt;Skip",TableQCalcMain[ShowHard])</f>
        <v>#REF!</v>
      </c>
    </row>
    <row r="400" spans="2:21" x14ac:dyDescent="0.2">
      <c r="B400" t="s">
        <v>364</v>
      </c>
      <c r="C400">
        <f>IF($C$399=1,0,IF(WinRHIZO!$H$2&gt;0,MAX(RHIZO_N_Software,RHIZO_N_System,RHIZO_N_UpgradeUpdate)-1,0))</f>
        <v>0</v>
      </c>
      <c r="D400">
        <f>C400</f>
        <v>0</v>
      </c>
      <c r="I400" t="str">
        <f>IF(Francais,
"Système d'analyse d'image pour l'analyse de racines",
"Image analysis system for roots analysis")</f>
        <v>Image analysis system for roots analysis</v>
      </c>
      <c r="J400">
        <f t="shared" ref="J400:J407" si="6">J399</f>
        <v>903149</v>
      </c>
      <c r="K400">
        <f>TableQCalcComInv[[#This Row],[Extended price]]</f>
        <v>0</v>
      </c>
      <c r="L400">
        <f>TableQCalcComInv[[#This Row],[Extended price]]</f>
        <v>0</v>
      </c>
      <c r="M400">
        <f>IF(Distributeurs_Rabais,
WinRHIZO!#REF!,
WinRHIZO!$H$2)</f>
        <v>0</v>
      </c>
      <c r="N400" t="str">
        <f>""</f>
        <v/>
      </c>
      <c r="O400" s="613" t="str">
        <f>""</f>
        <v/>
      </c>
      <c r="P400" s="613" t="str">
        <f>""</f>
        <v/>
      </c>
      <c r="Q400" s="613" t="str">
        <f>""</f>
        <v/>
      </c>
      <c r="R400" s="613" t="str">
        <f>""</f>
        <v/>
      </c>
      <c r="S400" s="613" t="str">
        <f>""</f>
        <v/>
      </c>
      <c r="T400" s="613" t="str">
        <f>""</f>
        <v/>
      </c>
      <c r="U400" s="613" t="str">
        <f>""</f>
        <v/>
      </c>
    </row>
    <row r="401" spans="2:21" x14ac:dyDescent="0.2">
      <c r="B401" t="s">
        <v>365</v>
      </c>
      <c r="C401">
        <f>IF($C$399=1,0,IF(WinRHIZOTron!$H$2&gt;0,MAX(RHIZOTRON_N_Software,RHIZOTRON_N_System,RHIZOTRON_N_UpgradeUpdate)-1,0))</f>
        <v>0</v>
      </c>
      <c r="D401">
        <f t="shared" ref="D401:D407" si="7">C401</f>
        <v>0</v>
      </c>
      <c r="I401" t="str">
        <f>IF(Francais,
"Système d'analyse d'image pour l'analyse de racines",
"Image analysis system for roots analysis")</f>
        <v>Image analysis system for roots analysis</v>
      </c>
      <c r="J401">
        <f t="shared" si="6"/>
        <v>903149</v>
      </c>
      <c r="K401">
        <f>TableQCalcComInv[[#This Row],[Extended price]]</f>
        <v>0</v>
      </c>
      <c r="L401">
        <f>TableQCalcComInv[[#This Row],[Extended price]]</f>
        <v>0</v>
      </c>
      <c r="M401">
        <f>IF(Distributeurs_Rabais,
WinRHIZOTron!#REF!,
WinRHIZOTron!$H$2)</f>
        <v>0</v>
      </c>
      <c r="N401" t="str">
        <f>""</f>
        <v/>
      </c>
      <c r="O401" s="613" t="str">
        <f>""</f>
        <v/>
      </c>
      <c r="P401" s="613" t="str">
        <f>""</f>
        <v/>
      </c>
      <c r="Q401" s="613" t="str">
        <f>""</f>
        <v/>
      </c>
      <c r="R401" s="613" t="str">
        <f>""</f>
        <v/>
      </c>
      <c r="S401" s="613" t="str">
        <f>""</f>
        <v/>
      </c>
      <c r="T401" s="613" t="str">
        <f>""</f>
        <v/>
      </c>
      <c r="U401" s="613" t="str">
        <f>""</f>
        <v/>
      </c>
    </row>
    <row r="402" spans="2:21" x14ac:dyDescent="0.2">
      <c r="B402" t="s">
        <v>366</v>
      </c>
      <c r="C402">
        <f>IF($C$399=1,0,IF(WinSEEDLE!$H$2&gt;0,MAX(SEEDLE_N_Software,SEEDLE_N_System,SEEDLE_N_UpgradeUpdate)-1,0))</f>
        <v>0</v>
      </c>
      <c r="D402">
        <f t="shared" si="7"/>
        <v>0</v>
      </c>
      <c r="I402" t="str">
        <f>IF(Francais,
"Système d'analyse d'image pour l'analyse de graines &amp; aiguilles végétales",
"Image analysis system for vegetal seeds &amp; needles analysis")</f>
        <v>Image analysis system for vegetal seeds &amp; needles analysis</v>
      </c>
      <c r="J402">
        <f t="shared" si="6"/>
        <v>903149</v>
      </c>
      <c r="K402">
        <f>TableQCalcComInv[[#This Row],[Extended price]]</f>
        <v>0</v>
      </c>
      <c r="L402">
        <f>TableQCalcComInv[[#This Row],[Extended price]]</f>
        <v>0</v>
      </c>
      <c r="M402">
        <f>IF(Distributeurs_Rabais,
WinSEEDLE!#REF!,
WinSEEDLE!$H$2)</f>
        <v>0</v>
      </c>
      <c r="N402" t="str">
        <f>""</f>
        <v/>
      </c>
      <c r="O402" s="613" t="str">
        <f>""</f>
        <v/>
      </c>
      <c r="P402" s="613" t="str">
        <f>""</f>
        <v/>
      </c>
      <c r="Q402" s="613" t="str">
        <f>""</f>
        <v/>
      </c>
      <c r="R402" s="613" t="str">
        <f>""</f>
        <v/>
      </c>
      <c r="S402" s="613" t="str">
        <f>""</f>
        <v/>
      </c>
      <c r="T402" s="613" t="str">
        <f>""</f>
        <v/>
      </c>
      <c r="U402" s="613" t="str">
        <f>""</f>
        <v/>
      </c>
    </row>
    <row r="403" spans="2:21" x14ac:dyDescent="0.2">
      <c r="B403" t="s">
        <v>367</v>
      </c>
      <c r="C403">
        <f>IF($C$399=1,0,IF(WinFOLIA!$H$2&gt;0,MAX(FOLIA_N_Software,FOLIA_N_System,FOLIA_N_UpgradeUpdate)-1,0))</f>
        <v>0</v>
      </c>
      <c r="D403">
        <f t="shared" si="7"/>
        <v>0</v>
      </c>
      <c r="I403" t="str">
        <f>IF(Francais,
"Système d'analyse d'image pour l'analyse de feuilles végétales",
"Image analysis system for vegetal leaves analysis")</f>
        <v>Image analysis system for vegetal leaves analysis</v>
      </c>
      <c r="J403">
        <f t="shared" si="6"/>
        <v>903149</v>
      </c>
      <c r="K403">
        <f>TableQCalcComInv[[#This Row],[Extended price]]</f>
        <v>0</v>
      </c>
      <c r="L403">
        <f>TableQCalcComInv[[#This Row],[Extended price]]</f>
        <v>0</v>
      </c>
      <c r="M403">
        <f>IF(Distributeurs_Rabais,
WinFOLIA!#REF!,
WinFOLIA!$H$2)</f>
        <v>0</v>
      </c>
      <c r="N403" t="str">
        <f>""</f>
        <v/>
      </c>
      <c r="O403" s="613" t="str">
        <f>""</f>
        <v/>
      </c>
      <c r="P403" s="613" t="str">
        <f>""</f>
        <v/>
      </c>
      <c r="Q403" s="613" t="str">
        <f>""</f>
        <v/>
      </c>
      <c r="R403" s="613" t="str">
        <f>""</f>
        <v/>
      </c>
      <c r="S403" s="613" t="str">
        <f>""</f>
        <v/>
      </c>
      <c r="T403" s="613" t="str">
        <f>""</f>
        <v/>
      </c>
      <c r="U403" s="613" t="str">
        <f>""</f>
        <v/>
      </c>
    </row>
    <row r="404" spans="2:21" x14ac:dyDescent="0.2">
      <c r="B404" t="s">
        <v>368</v>
      </c>
      <c r="C404">
        <f>IF($C$399=1,0,IF(WinCAM!$H$2&gt;0,MAX(CAM_N_Software,CAM_N_System,CAM_N_UpgradeUpdate)-1,0))</f>
        <v>0</v>
      </c>
      <c r="D404">
        <f t="shared" si="7"/>
        <v>0</v>
      </c>
      <c r="I404" t="str">
        <f>IF(Francais,
"Système d'analyse d'image pour l'analyse de couleur",
"Image analysis system for color analysis")</f>
        <v>Image analysis system for color analysis</v>
      </c>
      <c r="J404">
        <f t="shared" si="6"/>
        <v>903149</v>
      </c>
      <c r="K404">
        <f>TableQCalcComInv[[#This Row],[Extended price]]</f>
        <v>0</v>
      </c>
      <c r="L404">
        <f>TableQCalcComInv[[#This Row],[Extended price]]</f>
        <v>0</v>
      </c>
      <c r="M404">
        <f>IF(Distributeurs_Rabais,
WinCAM!#REF!,
WinCAM!$H$2)</f>
        <v>0</v>
      </c>
      <c r="N404" t="str">
        <f>""</f>
        <v/>
      </c>
      <c r="O404" s="613" t="str">
        <f>""</f>
        <v/>
      </c>
      <c r="P404" s="613" t="str">
        <f>""</f>
        <v/>
      </c>
      <c r="Q404" s="613" t="str">
        <f>""</f>
        <v/>
      </c>
      <c r="R404" s="613" t="str">
        <f>""</f>
        <v/>
      </c>
      <c r="S404" s="613" t="str">
        <f>""</f>
        <v/>
      </c>
      <c r="T404" s="613" t="str">
        <f>""</f>
        <v/>
      </c>
      <c r="U404" s="613" t="str">
        <f>""</f>
        <v/>
      </c>
    </row>
    <row r="405" spans="2:21" x14ac:dyDescent="0.2">
      <c r="B405" t="s">
        <v>369</v>
      </c>
      <c r="C405">
        <f>IF($C$399=1,0,IF(WinDENDRO!$H$2&gt;0,MAX(DENDRO_N_Software,DENDRO_N_System,DENDRO_N_UpgradeUpdate)-1,0))</f>
        <v>0</v>
      </c>
      <c r="D405">
        <f t="shared" si="7"/>
        <v>0</v>
      </c>
      <c r="I405" t="str">
        <f>IF(Francais,
"Système d'analyse d'image pour l'analyse de cernes d'arbres",
"Image analysis system for tree rings analysis")</f>
        <v>Image analysis system for tree rings analysis</v>
      </c>
      <c r="J405">
        <f t="shared" si="6"/>
        <v>903149</v>
      </c>
      <c r="K405">
        <f>TableQCalcComInv[[#This Row],[Extended price]]</f>
        <v>0</v>
      </c>
      <c r="L405">
        <f>TableQCalcComInv[[#This Row],[Extended price]]</f>
        <v>0</v>
      </c>
      <c r="M405">
        <f>IF(Distributeurs_Rabais,
WinDENDRO!#REF!,
WinDENDRO!$H$2)</f>
        <v>0</v>
      </c>
      <c r="N405" t="str">
        <f>""</f>
        <v/>
      </c>
      <c r="O405" s="613" t="str">
        <f>""</f>
        <v/>
      </c>
      <c r="P405" s="613" t="str">
        <f>""</f>
        <v/>
      </c>
      <c r="Q405" s="613" t="str">
        <f>""</f>
        <v/>
      </c>
      <c r="R405" s="613" t="str">
        <f>""</f>
        <v/>
      </c>
      <c r="S405" s="613" t="str">
        <f>""</f>
        <v/>
      </c>
      <c r="T405" s="613" t="str">
        <f>""</f>
        <v/>
      </c>
      <c r="U405" s="613" t="str">
        <f>""</f>
        <v/>
      </c>
    </row>
    <row r="406" spans="2:21" x14ac:dyDescent="0.2">
      <c r="B406" t="s">
        <v>370</v>
      </c>
      <c r="C406">
        <f>IF($C$399=1,0,IF(WinCELL!$H$2&gt;0,MAX(CELL_N_Software,CELL_N_System,CELL_N_UpgradeUpdate)-1,0))</f>
        <v>0</v>
      </c>
      <c r="D406">
        <f t="shared" si="7"/>
        <v>0</v>
      </c>
      <c r="I406" t="str">
        <f>IF(Francais,
"Système d'analyse d'image pour l'analyse de cellules végétales",
"Image analysis system for vegetal cells analysis")</f>
        <v>Image analysis system for vegetal cells analysis</v>
      </c>
      <c r="J406">
        <f t="shared" si="6"/>
        <v>903149</v>
      </c>
      <c r="K406">
        <f>TableQCalcComInv[[#This Row],[Extended price]]</f>
        <v>0</v>
      </c>
      <c r="L406">
        <f>TableQCalcComInv[[#This Row],[Extended price]]</f>
        <v>0</v>
      </c>
      <c r="M406">
        <f>IF(Distributeurs_Rabais,
WinCELL!#REF!,
WinCELL!$H$2)</f>
        <v>0</v>
      </c>
      <c r="N406" t="str">
        <f>""</f>
        <v/>
      </c>
      <c r="O406" s="613" t="str">
        <f>""</f>
        <v/>
      </c>
      <c r="P406" s="613" t="str">
        <f>""</f>
        <v/>
      </c>
      <c r="Q406" s="613" t="str">
        <f>""</f>
        <v/>
      </c>
      <c r="R406" s="613" t="str">
        <f>""</f>
        <v/>
      </c>
      <c r="S406" s="613" t="str">
        <f>""</f>
        <v/>
      </c>
      <c r="T406" s="613" t="str">
        <f>""</f>
        <v/>
      </c>
      <c r="U406" s="613" t="str">
        <f>""</f>
        <v/>
      </c>
    </row>
    <row r="407" spans="2:21" x14ac:dyDescent="0.2">
      <c r="B407" t="s">
        <v>371</v>
      </c>
      <c r="C407">
        <f>IF($C$399=1,0,IF(WinSCANOPY!$H$2&gt;0,MAX(SCANOPY_N_Software,SCANOPY_N_System,SCANOPY_N_UpgradeUpdate)-1,0))</f>
        <v>0</v>
      </c>
      <c r="D407">
        <f t="shared" si="7"/>
        <v>0</v>
      </c>
      <c r="I407" t="str">
        <f>IF(Francais,
"Système d'analyse d'image pour l'analyse de canopée végétale",
"Image analysis system for vegetal canopy analysis")</f>
        <v>Image analysis system for vegetal canopy analysis</v>
      </c>
      <c r="J407">
        <f t="shared" si="6"/>
        <v>903149</v>
      </c>
      <c r="K407">
        <f>TableQCalcComInv[[#This Row],[Extended price]]</f>
        <v>0</v>
      </c>
      <c r="L407">
        <f>TableQCalcComInv[[#This Row],[Extended price]]</f>
        <v>0</v>
      </c>
      <c r="M407">
        <f>IF(Distributeurs_Rabais,
WinSCANOPY!#REF!,
WinSCANOPY!$H$2)</f>
        <v>0</v>
      </c>
      <c r="N407" t="str">
        <f>""</f>
        <v/>
      </c>
      <c r="O407" s="613" t="str">
        <f>""</f>
        <v/>
      </c>
      <c r="P407" s="613" t="str">
        <f>""</f>
        <v/>
      </c>
      <c r="Q407" s="613" t="str">
        <f>""</f>
        <v/>
      </c>
      <c r="R407" s="613" t="str">
        <f>""</f>
        <v/>
      </c>
      <c r="S407" s="613" t="str">
        <f>""</f>
        <v/>
      </c>
      <c r="T407" s="613" t="str">
        <f>""</f>
        <v/>
      </c>
      <c r="U407" s="613" t="str">
        <f>""</f>
        <v/>
      </c>
    </row>
    <row r="411" spans="2:21" ht="17" x14ac:dyDescent="0.2">
      <c r="B411" s="68" t="s">
        <v>124</v>
      </c>
      <c r="C411" s="68"/>
      <c r="D411" s="68"/>
      <c r="E411" s="68"/>
      <c r="F411" s="68"/>
      <c r="G411" s="68"/>
      <c r="H411" s="68"/>
      <c r="I411" s="68"/>
      <c r="J411" s="68"/>
      <c r="K411" s="68"/>
      <c r="L411" s="68"/>
    </row>
    <row r="412" spans="2:21" x14ac:dyDescent="0.2">
      <c r="B412" t="s">
        <v>14</v>
      </c>
      <c r="C412" t="s">
        <v>133</v>
      </c>
      <c r="D412" t="s">
        <v>116</v>
      </c>
      <c r="E412" t="s">
        <v>134</v>
      </c>
      <c r="F412" t="s">
        <v>135</v>
      </c>
      <c r="G412" t="s">
        <v>136</v>
      </c>
      <c r="H412" t="s">
        <v>114</v>
      </c>
      <c r="I412" t="s">
        <v>7</v>
      </c>
      <c r="J412" t="s">
        <v>110</v>
      </c>
      <c r="K412" t="s">
        <v>434</v>
      </c>
      <c r="L412" t="s">
        <v>111</v>
      </c>
      <c r="M412" t="s">
        <v>253</v>
      </c>
      <c r="N412" t="s">
        <v>115</v>
      </c>
    </row>
    <row r="413" spans="2:21" x14ac:dyDescent="0.2">
      <c r="B413" t="s">
        <v>1</v>
      </c>
      <c r="C413" s="417">
        <f>WinDENDRO!H11+IFERROR(WinDENDRO!#REF!,0)</f>
        <v>0</v>
      </c>
      <c r="D413" s="417" t="e">
        <f>WinDENDRO!#REF!+IFERROR(WinDENDRO!#REF!,0)</f>
        <v>#REF!</v>
      </c>
      <c r="E413">
        <f>DENDRO_N_Software-1</f>
        <v>0</v>
      </c>
      <c r="F413">
        <f>IFERROR(IF(WinDENDRO!#REF!&gt;0,WinDENDRO!#REF!,0),0)</f>
        <v>0</v>
      </c>
      <c r="G413" s="319">
        <f>IFERROR(IF(WinDENDRO!#REF!&gt;0,WinDENDRO!#REF!,0),0)</f>
        <v>0</v>
      </c>
      <c r="H413">
        <f>DENDRO_OptionXL*(DENDRO_N_Software-1)</f>
        <v>0</v>
      </c>
      <c r="I413"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3">
        <f xml:space="preserve">
IF((_xlfn.RANK.EQ(C413,$C$413:$C$420,0)+COUNTIF($C$413:C413,C413)-1)&lt;=COUNTIF($C$413:$C$420,"&gt;0"),_xlfn.RANK.EQ(C413,$C$413:$C$420,0)+COUNTIF($C$413:C413,C413)-1,0)</f>
        <v>0</v>
      </c>
      <c r="K413">
        <f t="shared" ref="K413:K420" si="8">ROW(B413)-ROW($B$413)+2</f>
        <v>2</v>
      </c>
    </row>
    <row r="414" spans="2:21" x14ac:dyDescent="0.2">
      <c r="B414" t="s">
        <v>8</v>
      </c>
      <c r="C414" s="417">
        <f>WinCELL!H11+IFERROR(WinCELL!#REF!,0)</f>
        <v>0</v>
      </c>
      <c r="D414" s="417" t="e">
        <f>WinCELL!#REF!+IFERROR(WinCELL!#REF!,0)</f>
        <v>#REF!</v>
      </c>
      <c r="E414">
        <f>CELL_N_Software-1</f>
        <v>0</v>
      </c>
      <c r="F414">
        <f>IFERROR(IF(WinCELL!#REF!&gt;0,WinCELL!#REF!,0),0)</f>
        <v>0</v>
      </c>
      <c r="G414" s="320">
        <f>IFERROR(IF(WinCELL!#REF!&gt;0,WinCELL!#REF!,0),0)</f>
        <v>0</v>
      </c>
      <c r="H414">
        <f>CELL_OptionXL*(CELL_N_Software-1)</f>
        <v>0</v>
      </c>
      <c r="I414"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4">
        <f xml:space="preserve">
IF((_xlfn.RANK.EQ(C414,$C$413:$C$420,0)+COUNTIF($C$413:C414,C414)-1)&lt;=COUNTIF($C$413:$C$420,"&gt;0"),_xlfn.RANK.EQ(C414,$C$413:$C$420,0)+COUNTIF($C$413:C414,C414)-1,0)</f>
        <v>0</v>
      </c>
      <c r="K414">
        <f t="shared" si="8"/>
        <v>3</v>
      </c>
    </row>
    <row r="415" spans="2:21" x14ac:dyDescent="0.2">
      <c r="B415" t="s">
        <v>9</v>
      </c>
      <c r="C415" s="417">
        <f>WinRHIZO!H11+IFERROR(WinRHIZO!#REF!,0)</f>
        <v>0</v>
      </c>
      <c r="D415" s="417" t="e">
        <f>WinRHIZO!#REF!+IFERROR(WinRHIZO!#REF!,0)</f>
        <v>#REF!</v>
      </c>
      <c r="E415">
        <f>RHIZO_N_Software-1</f>
        <v>0</v>
      </c>
      <c r="F415">
        <f>IFERROR(IF(WinRHIZO!#REF!&gt;0,WinRHIZO!#REF!,0),0)</f>
        <v>0</v>
      </c>
      <c r="G415" s="319">
        <f>IFERROR(IF(WinRHIZO!#REF!&gt;0,WinRHIZO!#REF!,0),0)</f>
        <v>0</v>
      </c>
      <c r="H415">
        <f>RHIZO_OptionXL*(RHIZO_N_Software-1)</f>
        <v>0</v>
      </c>
      <c r="I415"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5">
        <f xml:space="preserve">
IF((_xlfn.RANK.EQ(C415,$C$413:$C$420,0)+COUNTIF($C$413:C415,C415)-1)&lt;=COUNTIF($C$413:$C$420,"&gt;0"),_xlfn.RANK.EQ(C415,$C$413:$C$420,0)+COUNTIF($C$413:C415,C415)-1,0)</f>
        <v>0</v>
      </c>
      <c r="K415">
        <f t="shared" si="8"/>
        <v>4</v>
      </c>
    </row>
    <row r="416" spans="2:21" x14ac:dyDescent="0.2">
      <c r="B416" t="s">
        <v>113</v>
      </c>
      <c r="C416" s="417">
        <f>WinRHIZOTron!H11+IFERROR(WinRHIZOTron!#REF!,0)</f>
        <v>0</v>
      </c>
      <c r="D416" s="417" t="e">
        <f>WinRHIZOTron!#REF!+IFERROR(WinRHIZOTron!#REF!,0)</f>
        <v>#REF!</v>
      </c>
      <c r="E416">
        <f>RHIZOTRON_N_Software-1</f>
        <v>0</v>
      </c>
      <c r="F416">
        <f>IFERROR(IF(WinRHIZOTron!#REF!&gt;0,WinRHIZOTron!#REF!,0),0)</f>
        <v>0</v>
      </c>
      <c r="G416" s="320">
        <f>IFERROR(IF(WinRHIZOTron!#REF!&gt;0,WinRHIZOTron!#REF!,0),0)</f>
        <v>0</v>
      </c>
      <c r="H416">
        <f>RHIZOTRON_OptionXL*(RHIZOTRON_N_Software-1)</f>
        <v>0</v>
      </c>
      <c r="I416"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6">
        <f xml:space="preserve">
IF((_xlfn.RANK.EQ(C416,$C$413:$C$420,0)+COUNTIF($C$413:C416,C416)-1)&lt;=COUNTIF($C$413:$C$420,"&gt;0"),_xlfn.RANK.EQ(C416,$C$413:$C$420,0)+COUNTIF($C$413:C416,C416)-1,0)</f>
        <v>0</v>
      </c>
      <c r="K416">
        <f t="shared" si="8"/>
        <v>5</v>
      </c>
    </row>
    <row r="417" spans="2:14" x14ac:dyDescent="0.2">
      <c r="B417" t="s">
        <v>5</v>
      </c>
      <c r="C417" s="417">
        <f>WinFOLIA!H11+IFERROR(WinFOLIA!#REF!,0)</f>
        <v>0</v>
      </c>
      <c r="D417" s="417" t="e">
        <f>WinFOLIA!#REF!+IFERROR(WinFOLIA!#REF!,0)</f>
        <v>#REF!</v>
      </c>
      <c r="E417">
        <f>FOLIA_N_Software-1</f>
        <v>0</v>
      </c>
      <c r="F417">
        <f>IFERROR(IF(WinFOLIA!#REF!&gt;0,WinFOLIA!#REF!,0),0)</f>
        <v>0</v>
      </c>
      <c r="G417" s="319">
        <f>IFERROR(IF(WinFOLIA!#REF!&gt;0,WinFOLIA!#REF!,0),0)</f>
        <v>0</v>
      </c>
      <c r="H417">
        <f>FOLIA_OptionXL*(FOLIA_N_Software-1)</f>
        <v>0</v>
      </c>
      <c r="I417"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7">
        <f xml:space="preserve">
IF((_xlfn.RANK.EQ(C417,$C$413:$C$420,0)+COUNTIF($C$413:C417,C417)-1)&lt;=COUNTIF($C$413:$C$420,"&gt;0"),_xlfn.RANK.EQ(C417,$C$413:$C$420,0)+COUNTIF($C$413:C417,C417)-1,0)</f>
        <v>0</v>
      </c>
      <c r="K417">
        <f t="shared" si="8"/>
        <v>6</v>
      </c>
    </row>
    <row r="418" spans="2:14" x14ac:dyDescent="0.2">
      <c r="B418" t="s">
        <v>10</v>
      </c>
      <c r="C418" s="417">
        <f>WinSEEDLE!H11+IFERROR(WinSEEDLE!#REF!,0)</f>
        <v>0</v>
      </c>
      <c r="D418" s="417" t="e">
        <f>WinSEEDLE!#REF!+IFERROR(WinSEEDLE!#REF!,0)</f>
        <v>#REF!</v>
      </c>
      <c r="E418">
        <f>SEEDLE_N_Software-1</f>
        <v>0</v>
      </c>
      <c r="F418">
        <f>IFERROR(IF(WinSEEDLE!#REF!&gt;0,WinSEEDLE!#REF!,0),0)</f>
        <v>0</v>
      </c>
      <c r="G418" s="320">
        <f>IFERROR(IF(WinSEEDLE!#REF!&gt;0,WinSEEDLE!#REF!,0),0)</f>
        <v>0</v>
      </c>
      <c r="H418">
        <f>SEEDLE_OptionXL*(SEEDLE_N_Software-1)</f>
        <v>0</v>
      </c>
      <c r="I418"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8">
        <f xml:space="preserve">
IF((_xlfn.RANK.EQ(C418,$C$413:$C$420,0)+COUNTIF($C$413:C418,C418)-1)&lt;=COUNTIF($C$413:$C$420,"&gt;0"),_xlfn.RANK.EQ(C418,$C$413:$C$420,0)+COUNTIF($C$413:C418,C418)-1,0)</f>
        <v>0</v>
      </c>
      <c r="K418">
        <f t="shared" si="8"/>
        <v>7</v>
      </c>
    </row>
    <row r="419" spans="2:14" x14ac:dyDescent="0.2">
      <c r="B419" t="s">
        <v>11</v>
      </c>
      <c r="C419" s="417">
        <f>WinCAM!H11+IFERROR(WinCAM!#REF!,0)</f>
        <v>0</v>
      </c>
      <c r="D419" s="417" t="e">
        <f>WinCAM!#REF!+IFERROR(WinCAM!#REF!,0)</f>
        <v>#REF!</v>
      </c>
      <c r="E419">
        <f>CAM_N_Software-1</f>
        <v>0</v>
      </c>
      <c r="F419">
        <f>IFERROR(IF(WinCAM!#REF!&gt;0,WinCAM!#REF!,0),0)</f>
        <v>0</v>
      </c>
      <c r="G419" s="319">
        <f>IFERROR(IF(WinCAM!#REF!&gt;0,WinCAM!#REF!,0),0)</f>
        <v>0</v>
      </c>
      <c r="H419">
        <v>0</v>
      </c>
      <c r="I419" t="e">
        <f>IF(QUOTE_SameClient=TRUE,
REPT(" ",30)&amp;INDEX(TableLists[Column12],TableQCalcRabais[[#This Row],[iRow+2]])*100 &amp; IF(Francais,"% de rabais sur ","% discount on ") &amp; INDEX(IF(Francais,{"2e";"3e";"4e";"5e";"6e";"7e";"8e"},{"2nd";"3rd";"4th";"5th";"6th";"7th";"8th"}),TableQCalcRabais[[#This Row],[iRow+2]]-1) &amp; IF(Francais," produit: "," product: ") &amp;
INDEX(TableQCalcRabais[Software],MATCH(TableQCalcRabais[[#This Row],[iRow+2]],TableQCalcRabais[Rank],0)) &amp;" (" &amp;IF(
INDEX(TableQCalcRabais[license],MATCH(TableQCalcRabais[[#This Row],[iRow+2]],TableQCalcRabais[Rank],0))&gt;0,IF(Francais,"Nouvelle License","New License"),"") &amp; IF(AND(
INDEX(TableQCalcRabais[license],MATCH(TableQCalcRabais[[#This Row],[iRow+2]],TableQCalcRabais[Rank],0))&gt;0,OR(
INDEX(TableQCalcRabais[update],MATCH(TableQCalcRabais[[#This Row],[iRow+2]],TableQCalcRabais[Rank],0))&gt;0,
INDEX(TableQCalcRabais[upgrade],MATCH(TableQCalcRabais[[#This Row],[iRow+2]],TableQCalcRabais[Rank],0))&gt;0,
INDEX(TableQCalcRabais[upgrade],MATCH(TableQCalcRabais[[#This Row],[iRow+2]],TableQCalcRabais[Rank],0))&gt;0)),"&amp;","") &amp;IF(OR(
INDEX(TableQCalcRabais[update],MATCH(TableQCalcRabais[[#This Row],[iRow+2]],TableQCalcRabais[Rank],0))&gt;0,
INDEX(TableQCalcRabais[upgrade],MATCH(TableQCalcRabais[[#This Row],[iRow+2]],TableQCalcRabais[Rank],0))&gt;0),IF(Francais,"M-à-jour","Update"),"") &amp;IF(
INDEX(TableQCalcRabais[XLSoftware],MATCH(TableQCalcRabais[[#This Row],[iRow+2]],TableQCalcRabais[Rank],0))&gt;0,
INDEX(TableQCalcRabais[XLName],MATCH(TableQCalcRabais[[#This Row],[iRow+2]],TableQCalcRabais[Rank],0)),"") &amp; ")",NA())</f>
        <v>#N/A</v>
      </c>
      <c r="J419">
        <f xml:space="preserve">
IF((_xlfn.RANK.EQ(C419,$C$413:$C$420,0)+COUNTIF($C$413:C419,C419)-1)&lt;=COUNTIF($C$413:$C$420,"&gt;0"),_xlfn.RANK.EQ(C419,$C$413:$C$420,0)+COUNTIF($C$413:C419,C419)-1,0)</f>
        <v>0</v>
      </c>
      <c r="K419">
        <f t="shared" si="8"/>
        <v>8</v>
      </c>
    </row>
    <row r="420" spans="2:14" x14ac:dyDescent="0.2">
      <c r="B420" t="str">
        <f>"WinSCANOPY" &amp; IF(OR(SCANOPY_IndexSoftware=1,SCANOPY_IndexSoftware=4)," Mini","")</f>
        <v>WinSCANOPY</v>
      </c>
      <c r="C420" s="417">
        <f>WinSCANOPY!H12+IFERROR(WinSCANOPY!#REF!,0)</f>
        <v>0</v>
      </c>
      <c r="D420" s="417" t="e">
        <f>WinSCANOPY!#REF!+IFERROR(WinSCANOPY!#REF!,0)</f>
        <v>#REF!</v>
      </c>
      <c r="E420">
        <f>SCANOPY_N_Software-1</f>
        <v>0</v>
      </c>
      <c r="F420">
        <f>IFERROR(IF(WinSCANOPY!#REF!&gt;0,WinSCANOPY!#REF!,0),0)</f>
        <v>0</v>
      </c>
      <c r="G420" s="320">
        <f>IFERROR(IF(WinSCANOPY!#REF!&gt;0,WinSCANOPY!#REF!,0),0)</f>
        <v>0</v>
      </c>
      <c r="H420">
        <f>(SCANOPY_N_Software-1)</f>
        <v>0</v>
      </c>
      <c r="J420">
        <f xml:space="preserve">
IF((_xlfn.RANK.EQ(C420,$C$413:$C$420,0)+COUNTIF($C$413:C420,C420)-1)&lt;=COUNTIF($C$413:$C$420,"&gt;0"),_xlfn.RANK.EQ(C420,$C$413:$C$420,0)+COUNTIF($C$413:C420,C420)-1,0)</f>
        <v>0</v>
      </c>
      <c r="K420">
        <f t="shared" si="8"/>
        <v>9</v>
      </c>
      <c r="N420" s="139"/>
    </row>
  </sheetData>
  <sheetProtection algorithmName="SHA-512" hashValue="Rbzj2pk1Mjthf56V3o1iZhK3AeSmtMFvzhjR6DMShtzPO+/WORj90Bz9PdJIoB0zIgRnd44wKYBzis8fdIMD5Q==" saltValue="atj5N5/CKEmAfBYJXneAZQ==" spinCount="100000" sheet="1" objects="1" scenarios="1" selectLockedCells="1"/>
  <phoneticPr fontId="24" type="noConversion"/>
  <conditionalFormatting sqref="D3:D155 D157:D160">
    <cfRule type="cellIs" dxfId="0" priority="1" operator="notEqual">
      <formula>0</formula>
    </cfRule>
  </conditionalFormatting>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8482" r:id="rId4" name="Check Box Francais">
              <controlPr defaultSize="0" autoFill="0" autoLine="0" autoPict="0" macro="[0]!FrenchToggle">
                <anchor moveWithCells="1" sizeWithCells="1">
                  <from>
                    <xdr:col>8</xdr:col>
                    <xdr:colOff>2273300</xdr:colOff>
                    <xdr:row>0</xdr:row>
                    <xdr:rowOff>25400</xdr:rowOff>
                  </from>
                  <to>
                    <xdr:col>8</xdr:col>
                    <xdr:colOff>4483100</xdr:colOff>
                    <xdr:row>0</xdr:row>
                    <xdr:rowOff>165100</xdr:rowOff>
                  </to>
                </anchor>
              </controlPr>
            </control>
          </mc:Choice>
        </mc:AlternateContent>
        <mc:AlternateContent xmlns:mc="http://schemas.openxmlformats.org/markup-compatibility/2006">
          <mc:Choice Requires="x14">
            <control shapeId="148483" r:id="rId5" name="Check Box Distributeurs">
              <controlPr defaultSize="0" autoFill="0" autoLine="0" autoPict="0" macro="[0]!CheckBoxDistributeurs_Click">
                <anchor moveWithCells="1" sizeWithCells="1">
                  <from>
                    <xdr:col>8</xdr:col>
                    <xdr:colOff>4368800</xdr:colOff>
                    <xdr:row>0</xdr:row>
                    <xdr:rowOff>0</xdr:rowOff>
                  </from>
                  <to>
                    <xdr:col>8</xdr:col>
                    <xdr:colOff>6197600</xdr:colOff>
                    <xdr:row>0</xdr:row>
                    <xdr:rowOff>190500</xdr:rowOff>
                  </to>
                </anchor>
              </controlPr>
            </control>
          </mc:Choice>
        </mc:AlternateContent>
        <mc:AlternateContent xmlns:mc="http://schemas.openxmlformats.org/markup-compatibility/2006">
          <mc:Choice Requires="x14">
            <control shapeId="148484" r:id="rId6" name="CheckboxSoftwareHardware">
              <controlPr defaultSize="0" autoFill="0" autoLine="0" autoPict="0" altText="Detailed Prices">
                <anchor moveWithCells="1">
                  <from>
                    <xdr:col>8</xdr:col>
                    <xdr:colOff>38100</xdr:colOff>
                    <xdr:row>0</xdr:row>
                    <xdr:rowOff>25400</xdr:rowOff>
                  </from>
                  <to>
                    <xdr:col>8</xdr:col>
                    <xdr:colOff>1155700</xdr:colOff>
                    <xdr:row>1</xdr:row>
                    <xdr:rowOff>12700</xdr:rowOff>
                  </to>
                </anchor>
              </controlPr>
            </control>
          </mc:Choice>
        </mc:AlternateContent>
        <mc:AlternateContent xmlns:mc="http://schemas.openxmlformats.org/markup-compatibility/2006">
          <mc:Choice Requires="x14">
            <control shapeId="148486" r:id="rId7" name="CheckBoxInternetDownload">
              <controlPr defaultSize="0" print="0" autoFill="0" autoLine="0" autoPict="0" altText="Detailed Prices">
                <anchor moveWithCells="1">
                  <from>
                    <xdr:col>8</xdr:col>
                    <xdr:colOff>5689600</xdr:colOff>
                    <xdr:row>0</xdr:row>
                    <xdr:rowOff>0</xdr:rowOff>
                  </from>
                  <to>
                    <xdr:col>8</xdr:col>
                    <xdr:colOff>6692900</xdr:colOff>
                    <xdr:row>0</xdr:row>
                    <xdr:rowOff>190500</xdr:rowOff>
                  </to>
                </anchor>
              </controlPr>
            </control>
          </mc:Choice>
        </mc:AlternateContent>
        <mc:AlternateContent xmlns:mc="http://schemas.openxmlformats.org/markup-compatibility/2006">
          <mc:Choice Requires="x14">
            <control shapeId="148487" r:id="rId8" name="Check Box 7">
              <controlPr defaultSize="0" autoFill="0" autoLine="0" autoPict="0" altText="Detailed Prices">
                <anchor moveWithCells="1">
                  <from>
                    <xdr:col>13</xdr:col>
                    <xdr:colOff>292100</xdr:colOff>
                    <xdr:row>127</xdr:row>
                    <xdr:rowOff>177800</xdr:rowOff>
                  </from>
                  <to>
                    <xdr:col>13</xdr:col>
                    <xdr:colOff>1536700</xdr:colOff>
                    <xdr:row>130</xdr:row>
                    <xdr:rowOff>177800</xdr:rowOff>
                  </to>
                </anchor>
              </controlPr>
            </control>
          </mc:Choice>
        </mc:AlternateContent>
        <mc:AlternateContent xmlns:mc="http://schemas.openxmlformats.org/markup-compatibility/2006">
          <mc:Choice Requires="x14">
            <control shapeId="148485" r:id="rId9" name="Check Box 5">
              <controlPr defaultSize="0" autoFill="0" autoLine="0" autoPict="0" altText="Detailed Prices">
                <anchor moveWithCells="1">
                  <from>
                    <xdr:col>8</xdr:col>
                    <xdr:colOff>38100</xdr:colOff>
                    <xdr:row>396</xdr:row>
                    <xdr:rowOff>25400</xdr:rowOff>
                  </from>
                  <to>
                    <xdr:col>8</xdr:col>
                    <xdr:colOff>1168400</xdr:colOff>
                    <xdr:row>397</xdr:row>
                    <xdr:rowOff>25400</xdr:rowOff>
                  </to>
                </anchor>
              </controlPr>
            </control>
          </mc:Choice>
        </mc:AlternateContent>
      </controls>
    </mc:Choice>
  </mc:AlternateContent>
  <tableParts count="3">
    <tablePart r:id="rId10"/>
    <tablePart r:id="rId11"/>
    <tablePart r:id="rId1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sheetPr>
  <dimension ref="A1:J147"/>
  <sheetViews>
    <sheetView zoomScaleNormal="100" workbookViewId="0"/>
  </sheetViews>
  <sheetFormatPr baseColWidth="10" defaultColWidth="0" defaultRowHeight="16" x14ac:dyDescent="0.2"/>
  <cols>
    <col min="1" max="1" width="2.6640625" customWidth="1"/>
    <col min="2" max="2" width="77.1640625" bestFit="1" customWidth="1"/>
    <col min="3" max="3" width="13.5" bestFit="1" customWidth="1"/>
    <col min="4" max="4" width="54.33203125" customWidth="1"/>
    <col min="5" max="6" width="9" customWidth="1"/>
    <col min="7" max="7" width="9" hidden="1" customWidth="1"/>
    <col min="8" max="8" width="10.1640625" hidden="1" customWidth="1"/>
    <col min="9" max="9" width="9" hidden="1"/>
    <col min="10" max="10" width="10.1640625" hidden="1"/>
    <col min="11" max="16384" width="9" hidden="1"/>
  </cols>
  <sheetData>
    <row r="1" spans="1:5" ht="15.5" customHeight="1" x14ac:dyDescent="0.2">
      <c r="B1" s="45" t="s">
        <v>791</v>
      </c>
      <c r="C1" s="17" t="str">
        <f>IF(ShowStaticListPrice,IF(Francais,"Prix Liste (","List Price (") &amp; "€" &amp; ")","")</f>
        <v>List Price (€)</v>
      </c>
      <c r="D1" s="416"/>
    </row>
    <row r="2" spans="1:5" ht="15.5" customHeight="1" x14ac:dyDescent="0.2">
      <c r="B2" t="s">
        <v>792</v>
      </c>
      <c r="C2" s="17"/>
      <c r="D2" s="416"/>
    </row>
    <row r="3" spans="1:5" ht="15.5" customHeight="1" x14ac:dyDescent="0.2">
      <c r="A3" s="152"/>
      <c r="B3" s="152"/>
      <c r="C3" s="152"/>
    </row>
    <row r="4" spans="1:5" ht="15.5" customHeight="1" x14ac:dyDescent="0.2">
      <c r="A4" s="152"/>
      <c r="B4" t="s">
        <v>201</v>
      </c>
      <c r="C4" s="417">
        <f>IF(ShowStaticListPrice,IF(ShowStaticListPrice,Calc!A48,""),"")</f>
        <v>1339</v>
      </c>
      <c r="E4" s="417"/>
    </row>
    <row r="5" spans="1:5" ht="15.5" customHeight="1" x14ac:dyDescent="0.2">
      <c r="A5" s="152"/>
      <c r="B5" t="s">
        <v>202</v>
      </c>
      <c r="C5" s="417">
        <f>IF(ShowStaticListPrice,Calc!A49,"")</f>
        <v>4292</v>
      </c>
    </row>
    <row r="6" spans="1:5" ht="15.5" customHeight="1" x14ac:dyDescent="0.2">
      <c r="A6" s="152"/>
      <c r="B6" t="s">
        <v>203</v>
      </c>
      <c r="C6" s="417">
        <f>IF(ShowStaticListPrice,Calc!A50,"")</f>
        <v>7252</v>
      </c>
    </row>
    <row r="7" spans="1:5" ht="15.5" customHeight="1" x14ac:dyDescent="0.2">
      <c r="A7" s="152"/>
      <c r="B7" t="s">
        <v>793</v>
      </c>
      <c r="C7" s="417">
        <f>IF(AND(ShowStaticListPrice,Checkbox_WithScan),
N("PrixSoftware")+INDEX(C$4:C$6,MATCH(LEFT($B7,FIND(" ",$B7,FIND(" ",$B7)+1))&amp;"*",$B$4:$B$6,0))+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2616</v>
      </c>
      <c r="D7" s="451"/>
    </row>
    <row r="8" spans="1:5" ht="15.5" customHeight="1" x14ac:dyDescent="0.2">
      <c r="A8" s="152"/>
      <c r="B8" t="s">
        <v>794</v>
      </c>
      <c r="C8" s="417">
        <f>IF(AND(ShowStaticListPrice,Checkbox_WithScan),
N("PrixSoftware")+INDEX(C$4:C$6,MATCH(LEFT($B8,FIND(" ",$B8,FIND(" ",$B8)+1))&amp;"*",$B$4:$B$6,0))+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5379</v>
      </c>
    </row>
    <row r="9" spans="1:5" ht="15.5" customHeight="1" x14ac:dyDescent="0.2">
      <c r="A9" s="152"/>
      <c r="B9" t="s">
        <v>795</v>
      </c>
      <c r="C9" s="417">
        <f>IF(AND(ShowStaticListPrice,Checkbox_WithScan),
N("PrixSoftware")+INDEX(C$4:C$6,MATCH(LEFT($B9,FIND(" ",$B9,FIND(" ",$B9)+1))&amp;"*",$B$4:$B$6,0))+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6150</v>
      </c>
    </row>
    <row r="10" spans="1:5" ht="15.5" customHeight="1" x14ac:dyDescent="0.2">
      <c r="A10" s="152"/>
      <c r="B10" t="s">
        <v>796</v>
      </c>
      <c r="C10" s="417">
        <f>IF(AND(ShowStaticListPrice,Checkbox_SansScanner),
N("PrixSoftware")+INDEX(C$4:C$6,MATCH(LEFT($B10,FIND(" ",$B10,FIND(" ",$B10)+1))&amp;"*",$B$4:$B$6,0))+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1487</v>
      </c>
    </row>
    <row r="11" spans="1:5" ht="15.5" customHeight="1" x14ac:dyDescent="0.2">
      <c r="A11" s="152"/>
      <c r="B11" t="s">
        <v>797</v>
      </c>
      <c r="C11" s="417">
        <f>IF(AND(ShowStaticListPrice,Checkbox_WithScan),
N("PrixSoftware")+INDEX(C$4:C$6,MATCH(LEFT($B11,FIND(" ",$B11,FIND(" ",$B11)+1))&amp;"*",$B$4:$B$6,0))+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5569</v>
      </c>
    </row>
    <row r="12" spans="1:5" ht="15.5" customHeight="1" x14ac:dyDescent="0.2">
      <c r="A12" s="152"/>
      <c r="B12" t="s">
        <v>798</v>
      </c>
      <c r="C12" s="417">
        <f>IF(AND(ShowStaticListPrice,Checkbox_WithScan),
N("PrixSoftware")+INDEX(C$4:C$6,MATCH(LEFT($B12,FIND(" ",$B12,FIND(" ",$B12)+1))&amp;"*",$B$4:$B$6,0))+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8332</v>
      </c>
    </row>
    <row r="13" spans="1:5" ht="15.5" customHeight="1" x14ac:dyDescent="0.2">
      <c r="A13" s="152"/>
      <c r="B13" t="s">
        <v>799</v>
      </c>
      <c r="C13" s="417">
        <f>IF(AND(ShowStaticListPrice,Checkbox_WithScan),
N("PrixSoftware")+INDEX(C$4:C$6,MATCH(LEFT($B13,FIND(" ",$B13,FIND(" ",$B13)+1))&amp;"*",$B$4:$B$6,0))+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9103</v>
      </c>
      <c r="D13" s="437"/>
    </row>
    <row r="14" spans="1:5" ht="15.5" customHeight="1" x14ac:dyDescent="0.2">
      <c r="A14" s="152"/>
      <c r="B14" t="s">
        <v>800</v>
      </c>
      <c r="C14" s="417">
        <f>IF(AND(ShowStaticListPrice,Checkbox_SansScanner),
N("PrixSoftware")+INDEX(C$4:C$6,MATCH(LEFT($B14,FIND(" ",$B14,FIND(" ",$B14)+1))&amp;"*",$B$4:$B$6,0))+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4440</v>
      </c>
    </row>
    <row r="15" spans="1:5" ht="15.5" customHeight="1" x14ac:dyDescent="0.2">
      <c r="A15" s="152"/>
      <c r="B15" t="s">
        <v>801</v>
      </c>
      <c r="C15" s="417">
        <f>IF(AND(ShowStaticListPrice,Checkbox_WithScan),
N("PrixSoftware")+INDEX(C$4:C$6,MATCH(LEFT($B15,FIND(" ",$B15,FIND(" ",$B15)+1))&amp;"*",$B$4:$B$6,0))+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8529</v>
      </c>
    </row>
    <row r="16" spans="1:5" ht="15.5" customHeight="1" x14ac:dyDescent="0.2">
      <c r="A16" s="152"/>
      <c r="B16" t="s">
        <v>802</v>
      </c>
      <c r="C16" s="417">
        <f>IF(AND(ShowStaticListPrice,Checkbox_WithScan),
N("PrixSoftware")+INDEX(C$4:C$6,MATCH(LEFT($B16,FIND(" ",$B16,FIND(" ",$B16)+1))&amp;"*",$B$4:$B$6,0))+
IF(ISNUMBER(SEARCH("STD4800",$B16)),IF(COLUMN(A$1)=1,PrixSTD,PrixSTD_Dist),0)+
IF(ISNUMBER(SEARCH("LA2400",$B16)),IF(COLUMN(A$1)=1,PrixLA,PrixLA_Dist),0)+
IF(ISNUMBER(SEARCH(IF(Francais,"et LS","and SLS"),$B16)),IF(COLUMN(A$1)=1,PrixTPU,PrixTPU_Dist),0)+
IF(ISNUMBER(SEARCH(IF(Francais,"sans Scanner","Without Scanner"),$B16)),STD_GenCalib_Drivers_Instr_Techsup*(1-RebateHardware*0),0),
"")</f>
        <v>11292</v>
      </c>
    </row>
    <row r="17" spans="1:8" ht="15.5" customHeight="1" x14ac:dyDescent="0.2">
      <c r="A17" s="152"/>
      <c r="B17" t="s">
        <v>803</v>
      </c>
      <c r="C17" s="417">
        <f>IF(AND(ShowStaticListPrice,Checkbox_WithScan),
N("PrixSoftware")+INDEX(C$4:C$6,MATCH(LEFT($B17,FIND(" ",$B17,FIND(" ",$B17)+1))&amp;"*",$B$4:$B$6,0))+
IF(ISNUMBER(SEARCH("STD4800",$B17)),IF(COLUMN(A$1)=1,PrixSTD,PrixSTD_Dist),0)+
IF(ISNUMBER(SEARCH("LA2400",$B17)),IF(COLUMN(A$1)=1,PrixLA,PrixLA_Dist),0)+
IF(ISNUMBER(SEARCH(IF(Francais,"et LS","and SLS"),$B17)),IF(COLUMN(A$1)=1,PrixTPU,PrixTPU_Dist),0)+
IF(ISNUMBER(SEARCH(IF(Francais,"sans Scanner","Without Scanner"),$B17)),STD_GenCalib_Drivers_Instr_Techsup*(1-RebateHardware*0),0),
"")</f>
        <v>12063</v>
      </c>
    </row>
    <row r="18" spans="1:8" ht="15.5" customHeight="1" x14ac:dyDescent="0.2">
      <c r="A18" s="152"/>
      <c r="B18" t="s">
        <v>804</v>
      </c>
      <c r="C18" s="417">
        <f>IF(AND(ShowStaticListPrice,Checkbox_SansScanner),
N("PrixSoftware")+INDEX(C$4:C$6,MATCH(LEFT($B18,FIND(" ",$B18,FIND(" ",$B18)+1))&amp;"*",$B$4:$B$6,0))+
IF(ISNUMBER(SEARCH("STD4800",$B18)),IF(COLUMN(A$1)=1,PrixSTD,PrixSTD_Dist),0)+
IF(ISNUMBER(SEARCH("LA2400",$B18)),IF(COLUMN(A$1)=1,PrixLA,PrixLA_Dist),0)+
IF(ISNUMBER(SEARCH(IF(Francais,"et LS","and SLS"),$B18)),IF(COLUMN(A$1)=1,PrixTPU,PrixTPU_Dist),0)+
IF(ISNUMBER(SEARCH(IF(Francais,"sans Scanner","Without Scanner"),$B18)),STD_GenCalib_Drivers_Instr_Techsup*(1-RebateHardware*0),0),
"")</f>
        <v>7400</v>
      </c>
      <c r="D18" s="437"/>
    </row>
    <row r="19" spans="1:8" ht="15.5" customHeight="1" x14ac:dyDescent="0.2">
      <c r="A19" s="152"/>
      <c r="B19" s="45" t="s">
        <v>805</v>
      </c>
      <c r="C19" s="417"/>
      <c r="D19" s="437"/>
      <c r="H19" s="442"/>
    </row>
    <row r="20" spans="1:8" ht="15.5" customHeight="1" x14ac:dyDescent="0.2">
      <c r="A20" s="152"/>
      <c r="B20" t="s">
        <v>94</v>
      </c>
      <c r="C20" s="417">
        <f>IF(ShowStaticListPrice,PrixTarget,"")</f>
        <v>736</v>
      </c>
      <c r="D20" s="437" t="str">
        <f>IF(NOT(QUOTE_DistDisableSameClient),IF(Francais,"Obtenez un rabais* de 20% en commandant un deuxième produit.","Get a 20% discount* when ordering a second product."),"")</f>
        <v>Get a 20% discount* when ordering a second product.</v>
      </c>
      <c r="H20" s="442"/>
    </row>
    <row r="21" spans="1:8" ht="15.5" customHeight="1" x14ac:dyDescent="0.2">
      <c r="A21" s="152"/>
      <c r="B21" t="s">
        <v>806</v>
      </c>
      <c r="C21" s="417">
        <f>IF(ShowStaticListPrice,PrixCoreHolder22,"")</f>
        <v>163</v>
      </c>
      <c r="D21" s="437"/>
    </row>
    <row r="22" spans="1:8" ht="15.5" customHeight="1" x14ac:dyDescent="0.2">
      <c r="A22" s="152"/>
      <c r="B22" t="s">
        <v>807</v>
      </c>
      <c r="C22" s="417">
        <f>IF(ShowStaticListPrice,PrixCoreHolder36,"")</f>
        <v>218</v>
      </c>
      <c r="D22" s="437" t="str">
        <f>IF(NOT(QUOTE_DistDisableSameClient),IF(Francais,"Obtenez un rabais* de 40% en commandant un troisième produit.","Get a 40% discount* when ordering a thrid product."),"")</f>
        <v>Get a 40% discount* when ordering a thrid product.</v>
      </c>
    </row>
    <row r="23" spans="1:8" ht="15.5" customHeight="1" x14ac:dyDescent="0.2">
      <c r="A23" s="152"/>
      <c r="B23" t="s">
        <v>808</v>
      </c>
      <c r="C23" s="417">
        <f>IF(ShowStaticListPrice,PrixCorePosiLA,"")</f>
        <v>89</v>
      </c>
      <c r="D23" s="437"/>
    </row>
    <row r="24" spans="1:8" ht="15.5" customHeight="1" x14ac:dyDescent="0.2">
      <c r="A24" s="152"/>
      <c r="B24" t="s">
        <v>809</v>
      </c>
      <c r="C24" s="417">
        <f>IF(ShowStaticListPrice,PrixCorePosiSTD,"")</f>
        <v>37</v>
      </c>
      <c r="D24" s="3" t="str">
        <f>IF(NOT(QUOTE_DistDisableSameClient),IF(Francais,"Obtenez un rabais* de 60% en commandant un quatrième produit (ou plus).","Get a 60% discount* when ordering a fourth (and more) product(s)."), "")</f>
        <v>Get a 60% discount* when ordering a fourth (and more) product(s).</v>
      </c>
    </row>
    <row r="25" spans="1:8" ht="15.5" customHeight="1" x14ac:dyDescent="0.2">
      <c r="A25" s="196"/>
      <c r="B25" s="196"/>
      <c r="C25" s="418"/>
    </row>
    <row r="26" spans="1:8" ht="15.5" customHeight="1" x14ac:dyDescent="0.2">
      <c r="A26" s="196"/>
      <c r="B26" t="s">
        <v>376</v>
      </c>
      <c r="C26" s="417">
        <f>IF(ShowStaticListPrice,Calc!A51,"")</f>
        <v>1296</v>
      </c>
      <c r="D26" s="437" t="str">
        <f>IF(NOT(QUOTE_DistDisableSameClient),IF(Francais,"Les rabais ne s'appliquent qu'aux logiciels (pas au matériel).","Discounts apply on software only (not hardware)."),"")</f>
        <v>Discounts apply on software only (not hardware).</v>
      </c>
    </row>
    <row r="27" spans="1:8" ht="15.5" customHeight="1" x14ac:dyDescent="0.2">
      <c r="A27" s="196"/>
      <c r="B27" t="s">
        <v>377</v>
      </c>
      <c r="C27" s="417">
        <f>IF(ShowStaticListPrice,Calc!A52,"")</f>
        <v>2350</v>
      </c>
      <c r="D27" s="437" t="str">
        <f>IF(Francais,"Le matériel peut être partagé entre différents logiciels.", "Hardware can be shared among different software programs.")</f>
        <v>Hardware can be shared among different software programs.</v>
      </c>
    </row>
    <row r="28" spans="1:8" ht="15.5" customHeight="1" x14ac:dyDescent="0.2">
      <c r="A28" s="196"/>
      <c r="B28" t="s">
        <v>204</v>
      </c>
      <c r="C28" s="417">
        <f>IF(ShowStaticListPrice,Calc!A53,"")</f>
        <v>3698</v>
      </c>
    </row>
    <row r="29" spans="1:8" ht="15.5" customHeight="1" x14ac:dyDescent="0.2">
      <c r="A29" s="221"/>
      <c r="B29" s="221"/>
      <c r="C29" s="419"/>
    </row>
    <row r="30" spans="1:8" ht="15.5" customHeight="1" x14ac:dyDescent="0.2">
      <c r="A30" s="221"/>
      <c r="B30" t="s">
        <v>205</v>
      </c>
      <c r="C30" s="417">
        <f>IF(ShowStaticListPrice,Calc!A54,"")</f>
        <v>1332</v>
      </c>
    </row>
    <row r="31" spans="1:8" ht="15.5" customHeight="1" x14ac:dyDescent="0.2">
      <c r="A31" s="221"/>
      <c r="B31" t="s">
        <v>206</v>
      </c>
      <c r="C31" s="417">
        <f>IF(ShowStaticListPrice,Calc!A55,"")</f>
        <v>3223</v>
      </c>
    </row>
    <row r="32" spans="1:8" ht="15.5" customHeight="1" x14ac:dyDescent="0.2">
      <c r="A32" s="221"/>
      <c r="B32" t="s">
        <v>207</v>
      </c>
      <c r="C32" s="417">
        <f>IF(ShowStaticListPrice,Calc!A56,"")</f>
        <v>5179</v>
      </c>
    </row>
    <row r="33" spans="1:4" ht="15.5" customHeight="1" x14ac:dyDescent="0.2">
      <c r="A33" s="221"/>
      <c r="B33" t="s">
        <v>208</v>
      </c>
      <c r="C33" s="417">
        <f>IF(ShowStaticListPrice,Calc!A57,"")</f>
        <v>6451</v>
      </c>
    </row>
    <row r="34" spans="1:4" ht="15.5" customHeight="1" x14ac:dyDescent="0.2">
      <c r="A34" s="221"/>
      <c r="B34" t="s">
        <v>810</v>
      </c>
      <c r="C34" s="417">
        <f>IF(AND(ShowStaticListPrice,Checkbox_WithScan),
N("PrixSoftware")+INDEX(C$30:C$33,MATCH(LEFT($B34,FIND(" ",$B34,FIND(" ",$B34)+1))&amp;"*",$B$30:$B$33,0))+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2885</v>
      </c>
    </row>
    <row r="35" spans="1:4" ht="15.5" customHeight="1" x14ac:dyDescent="0.2">
      <c r="A35" s="221"/>
      <c r="B35" t="s">
        <v>811</v>
      </c>
      <c r="C35" s="417">
        <f>IF(AND(ShowStaticListPrice,Checkbox_WithScan),
N("PrixSoftware")+INDEX(C$30:C$33,MATCH(LEFT($B35,FIND(" ",$B35,FIND(" ",$B35)+1))&amp;"*",$B$30:$B$33,0))+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6688</v>
      </c>
    </row>
    <row r="36" spans="1:4" ht="15.5" customHeight="1" x14ac:dyDescent="0.2">
      <c r="A36" s="221"/>
      <c r="B36" t="s">
        <v>812</v>
      </c>
      <c r="C36" s="417">
        <f>IF(AND(ShowStaticListPrice,Checkbox_SansScanner),
N("PrixSoftware")+INDEX(C$30:C$33,MATCH(LEFT($B36,FIND(" ",$B36,FIND(" ",$B36)+1))&amp;"*",$B$30:$B$33,0))+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1480</v>
      </c>
    </row>
    <row r="37" spans="1:4" ht="15.5" customHeight="1" x14ac:dyDescent="0.2">
      <c r="A37" s="221"/>
      <c r="B37" t="s">
        <v>813</v>
      </c>
      <c r="C37" s="417">
        <f>IF(AND(ShowStaticListPrice,Checkbox_SansScanner),
N("PrixSoftware")+INDEX(C$30:C$33,MATCH(LEFT($B37,FIND(" ",$B37,FIND(" ",$B37)+1))&amp;"*",$B$30:$B$33,0))+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1480</v>
      </c>
    </row>
    <row r="38" spans="1:4" ht="15.5" customHeight="1" x14ac:dyDescent="0.2">
      <c r="A38" s="221"/>
      <c r="B38" t="s">
        <v>814</v>
      </c>
      <c r="C38" s="417">
        <f>IF(AND(ShowStaticListPrice,Checkbox_WithScan),
N("PrixSoftware")+INDEX(C$30:C$33,MATCH(LEFT($B38,FIND(" ",$B38,FIND(" ",$B38)+1))&amp;"*",$B$30:$B$33,0))+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4776</v>
      </c>
    </row>
    <row r="39" spans="1:4" ht="15.5" customHeight="1" x14ac:dyDescent="0.2">
      <c r="A39" s="221"/>
      <c r="B39" t="s">
        <v>815</v>
      </c>
      <c r="C39" s="417">
        <f>IF(AND(ShowStaticListPrice,Checkbox_WithScan),
N("PrixSoftware")+INDEX(C$30:C$33,MATCH(LEFT($B39,FIND(" ",$B39,FIND(" ",$B39)+1))&amp;"*",$B$30:$B$33,0))+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8579</v>
      </c>
    </row>
    <row r="40" spans="1:4" ht="15.5" customHeight="1" x14ac:dyDescent="0.2">
      <c r="A40" s="221"/>
      <c r="B40" t="s">
        <v>816</v>
      </c>
      <c r="C40" s="417">
        <f>IF(AND(ShowStaticListPrice,Checkbox_SansScanner),
N("PrixSoftware")+INDEX(C$30:C$33,MATCH(LEFT($B40,FIND(" ",$B40,FIND(" ",$B40)+1))&amp;"*",$B$30:$B$33,0))+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3371</v>
      </c>
    </row>
    <row r="41" spans="1:4" ht="15.5" customHeight="1" x14ac:dyDescent="0.2">
      <c r="A41" s="221"/>
      <c r="B41" t="s">
        <v>817</v>
      </c>
      <c r="C41" s="417">
        <f>IF(AND(ShowStaticListPrice,Checkbox_SansScanner),
N("PrixSoftware")+INDEX(C$30:C$33,MATCH(LEFT($B41,FIND(" ",$B41,FIND(" ",$B41)+1))&amp;"*",$B$30:$B$33,0))+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3371</v>
      </c>
    </row>
    <row r="42" spans="1:4" ht="15.5" customHeight="1" x14ac:dyDescent="0.2">
      <c r="A42" s="221"/>
      <c r="B42" t="s">
        <v>818</v>
      </c>
      <c r="C42" s="417">
        <f>IF(AND(ShowStaticListPrice,Checkbox_WithScan),
N("PrixSoftware")+INDEX(C$30:C$33,MATCH(LEFT($B42,FIND(" ",$B42,FIND(" ",$B42)+1))&amp;"*",$B$30:$B$33,0))+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6732</v>
      </c>
    </row>
    <row r="43" spans="1:4" ht="15.5" customHeight="1" x14ac:dyDescent="0.2">
      <c r="A43" s="221"/>
      <c r="B43" t="s">
        <v>819</v>
      </c>
      <c r="C43" s="417">
        <f>IF(AND(ShowStaticListPrice,Checkbox_WithScan),
N("PrixSoftware")+INDEX(C$30:C$33,MATCH(LEFT($B43,FIND(" ",$B43,FIND(" ",$B43)+1))&amp;"*",$B$30:$B$33,0))+
IF(ISNUMBER(SEARCH("STD4800",$B43)),IF(COLUMN(A$1)=1,PrixSTD+PrixRootPosiSTD,PrixSTD_Dist+PrixRPosiSTD_Dist),0)+
IF(ISNUMBER(SEARCH("LA2400",$B43)),IF(COLUMN(A$1)=1,PrixLA+PrixRootPosiLA,PrixLA_Dist+PrixRPosiPLA_Dist),0)+
IF(ISNUMBER(SEARCH(IF(Francais,"et LS","and SLS"),$B43)),IF(COLUMN(A$1)=1,PrixTPU,PrixTPU_Dist),0)+
IF(ISNUMBER(SEARCH(IF(Francais,"Sans Scanner (STD)","Without Scanner (STD)"),$B43)),IF(COLUMN(A$1)=1,(STD_GenCalib_Drivers_Instr_Techsup),(STD_GenCalib_Drivers_Instr_Techsup)*(1-RebateHardware)),0)+
IF(ISNUMBER(SEARCH(IF(Francais,"Sans Scanner (LA)","Without Scanner (LA)"),$B43)),IF(COLUMN(A$1)=1,(LA_GenCalib_Drivers_Instr_Techsup),(LA_GenCalib_Drivers_Instr_Techsup)*(1-RebateHardware)),0),
"")</f>
        <v>10535</v>
      </c>
    </row>
    <row r="44" spans="1:4" ht="15.5" customHeight="1" x14ac:dyDescent="0.2">
      <c r="A44" s="221"/>
      <c r="B44" t="s">
        <v>820</v>
      </c>
      <c r="C44" s="417">
        <f>IF(AND(ShowStaticListPrice,Checkbox_SansScanner),
N("PrixSoftware")+INDEX(C$30:C$33,MATCH(LEFT($B44,FIND(" ",$B44,FIND(" ",$B44)+1))&amp;"*",$B$30:$B$33,0))+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5327</v>
      </c>
      <c r="D44" s="853"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 sales@regentinstruments.com to get a quote with discounts or use our dynamic Excel's price list to get the discount calculated automatically.</v>
      </c>
    </row>
    <row r="45" spans="1:4" ht="15.5" customHeight="1" x14ac:dyDescent="0.2">
      <c r="A45" s="221"/>
      <c r="B45" t="s">
        <v>821</v>
      </c>
      <c r="C45" s="417">
        <f>IF(AND(ShowStaticListPrice,Checkbox_SansScanner),
N("PrixSoftware")+INDEX(C$30:C$33,MATCH(LEFT($B45,FIND(" ",$B45,FIND(" ",$B45)+1))&amp;"*",$B$30:$B$33,0))+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5327</v>
      </c>
      <c r="D45" s="853"/>
    </row>
    <row r="46" spans="1:4" ht="15.5" customHeight="1" x14ac:dyDescent="0.2">
      <c r="A46" s="221"/>
      <c r="B46" t="s">
        <v>822</v>
      </c>
      <c r="C46" s="417">
        <f>IF(AND(ShowStaticListPrice,Checkbox_WithScan),
N("PrixSoftware")+INDEX(C$30:C$33,MATCH(LEFT($B46,FIND(" ",$B46,FIND(" ",$B46)+1))&amp;"*",$B$30:$B$33,0))+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8004</v>
      </c>
      <c r="D46" s="853"/>
    </row>
    <row r="47" spans="1:4" ht="15.5" customHeight="1" x14ac:dyDescent="0.2">
      <c r="A47" s="221"/>
      <c r="B47" t="s">
        <v>823</v>
      </c>
      <c r="C47" s="417">
        <f>IF(AND(ShowStaticListPrice,Checkbox_WithScan),
N("PrixSoftware")+INDEX(C$30:C$33,MATCH(LEFT($B47,FIND(" ",$B47,FIND(" ",$B47)+1))&amp;"*",$B$30:$B$33,0))+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11807</v>
      </c>
      <c r="D47" s="853"/>
    </row>
    <row r="48" spans="1:4" ht="21" x14ac:dyDescent="0.2">
      <c r="A48" s="221"/>
      <c r="B48" t="s">
        <v>824</v>
      </c>
      <c r="C48" s="417">
        <f>IF(AND(ShowStaticListPrice,Checkbox_SansScanner),
N("PrixSoftware")+INDEX(C$30:C$33,MATCH(LEFT($B48,FIND(" ",$B48,FIND(" ",$B48)+1))&amp;"*",$B$30:$B$33,0))+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6599</v>
      </c>
    </row>
    <row r="49" spans="1:3" ht="21" x14ac:dyDescent="0.2">
      <c r="A49" s="221"/>
      <c r="B49" t="s">
        <v>825</v>
      </c>
      <c r="C49" s="417">
        <f>IF(AND(ShowStaticListPrice,Checkbox_SansScanner),
N("PrixSoftware")+INDEX(C$30:C$33,MATCH(LEFT($B49,FIND(" ",$B49,FIND(" ",$B49)+1))&amp;"*",$B$30:$B$33,0))+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6599</v>
      </c>
    </row>
    <row r="50" spans="1:3" x14ac:dyDescent="0.2">
      <c r="A50" s="245"/>
      <c r="B50" s="245"/>
      <c r="C50" s="422"/>
    </row>
    <row r="51" spans="1:3" x14ac:dyDescent="0.2">
      <c r="A51" s="245"/>
      <c r="B51" t="s">
        <v>373</v>
      </c>
      <c r="C51" s="417">
        <f>IF(ShowStaticListPrice,Calc!A64,"")</f>
        <v>1288</v>
      </c>
    </row>
    <row r="52" spans="1:3" x14ac:dyDescent="0.2">
      <c r="A52" s="245"/>
      <c r="B52" t="s">
        <v>214</v>
      </c>
      <c r="C52" s="417">
        <f>IF(ShowStaticListPrice,Calc!A65,"")</f>
        <v>2020</v>
      </c>
    </row>
    <row r="53" spans="1:3" x14ac:dyDescent="0.2">
      <c r="A53" s="245"/>
      <c r="B53" t="s">
        <v>215</v>
      </c>
      <c r="C53" s="417">
        <f>IF(ShowStaticListPrice,Calc!A66,"")</f>
        <v>3329</v>
      </c>
    </row>
    <row r="54" spans="1:3" x14ac:dyDescent="0.2">
      <c r="A54" s="245"/>
      <c r="B54" t="s">
        <v>826</v>
      </c>
      <c r="C54" s="417">
        <f t="shared" ref="C54:C63" si="0">IF(AND(ShowStaticListPrice,Checkbox_WithScan),
N("PrixSoftware")+INDEX(C$51:C$53,MATCH(LEFT($B54,FIND(" ",$B54,FIND(" ",$B54)+1))&amp;"*",$B$51:$B$53,0))+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2841</v>
      </c>
    </row>
    <row r="55" spans="1:3" x14ac:dyDescent="0.2">
      <c r="A55" s="245"/>
      <c r="B55" t="s">
        <v>827</v>
      </c>
      <c r="C55" s="417">
        <f t="shared" si="0"/>
        <v>6644</v>
      </c>
    </row>
    <row r="56" spans="1:3" x14ac:dyDescent="0.2">
      <c r="A56" s="245"/>
      <c r="B56" t="s">
        <v>828</v>
      </c>
      <c r="C56" s="417">
        <f>IF(AND(ShowStaticListPrice,Checkbox_SansScanner),
N("PrixSoftware")+INDEX(C$51:C$53,MATCH(LEFT($B56,FIND(" ",$B56,FIND(" ",$B56)+1))&amp;"*",$B$51:$B$53,0))+
IF(ISNUMBER(SEARCH("STD4800",$B56)),IF(COLUMN(A$1)=1,PrixSTD+PrixRootPosiSTD,PrixSTD_Dist+PrixRPosiSTD_Dist),0)+
IF(ISNUMBER(SEARCH("LA2400",$B56)),IF(COLUMN(A$1)=1,PrixLA+PrixRootPosiLA,PrixLA_Dist+PrixRPosiPLA_Dist),0)+
IF(ISNUMBER(SEARCH(IF(Francais,"et LS","and SLS"),$B56)),IF(COLUMN(A$1)=1,PrixTPU,PrixTPU_Dist),0)+
IF(ISNUMBER(SEARCH(IF(Francais,"Sans Scanner (STD)","Without Scanner (STD)"),$B56)),IF(COLUMN(A$1)=1,(STD_GenCalib_Drivers_Instr_Techsup),(STD_GenCalib_Drivers_Instr_Techsup)*(1-RebateHardware)),0)+
IF(ISNUMBER(SEARCH(IF(Francais,"Sans Scanner (LA)","Without Scanner (LA)"),$B56)),IF(COLUMN(A$1)=1,(LA_GenCalib_Drivers_Instr_Techsup),(LA_GenCalib_Drivers_Instr_Techsup)*(1-RebateHardware)),0),
"")</f>
        <v>1436</v>
      </c>
    </row>
    <row r="57" spans="1:3" x14ac:dyDescent="0.2">
      <c r="A57" s="245"/>
      <c r="B57" t="s">
        <v>829</v>
      </c>
      <c r="C57" s="417">
        <f>IF(AND(ShowStaticListPrice,Checkbox_SansScanner),
N("PrixSoftware")+INDEX(C$51:C$53,MATCH(LEFT($B57,FIND(" ",$B57,FIND(" ",$B57)+1))&amp;"*",$B$51:$B$53,0))+
IF(ISNUMBER(SEARCH("STD4800",$B57)),IF(COLUMN(A$1)=1,PrixSTD+PrixRootPosiSTD,PrixSTD_Dist+PrixRPosiSTD_Dist),0)+
IF(ISNUMBER(SEARCH("LA2400",$B57)),IF(COLUMN(A$1)=1,PrixLA+PrixRootPosiLA,PrixLA_Dist+PrixRPosiPLA_Dist),0)+
IF(ISNUMBER(SEARCH(IF(Francais,"et LS","and SLS"),$B57)),IF(COLUMN(A$1)=1,PrixTPU,PrixTPU_Dist),0)+
IF(ISNUMBER(SEARCH(IF(Francais,"Sans Scanner (STD)","Without Scanner (STD)"),$B57)),IF(COLUMN(A$1)=1,(STD_GenCalib_Drivers_Instr_Techsup),(STD_GenCalib_Drivers_Instr_Techsup)*(1-RebateHardware)),0)+
IF(ISNUMBER(SEARCH(IF(Francais,"Sans Scanner (LA)","Without Scanner (LA)"),$B57)),IF(COLUMN(A$1)=1,(LA_GenCalib_Drivers_Instr_Techsup),(LA_GenCalib_Drivers_Instr_Techsup)*(1-RebateHardware)),0),
"")</f>
        <v>1436</v>
      </c>
    </row>
    <row r="58" spans="1:3" x14ac:dyDescent="0.2">
      <c r="A58" s="245"/>
      <c r="B58" t="s">
        <v>830</v>
      </c>
      <c r="C58" s="417">
        <f t="shared" si="0"/>
        <v>3573</v>
      </c>
    </row>
    <row r="59" spans="1:3" x14ac:dyDescent="0.2">
      <c r="A59" s="245"/>
      <c r="B59" t="s">
        <v>831</v>
      </c>
      <c r="C59" s="417">
        <f t="shared" si="0"/>
        <v>7376</v>
      </c>
    </row>
    <row r="60" spans="1:3" x14ac:dyDescent="0.2">
      <c r="A60" s="245"/>
      <c r="B60" t="s">
        <v>832</v>
      </c>
      <c r="C60" s="417">
        <f>IF(AND(ShowStaticListPrice,Checkbox_SansScanner),
N("PrixSoftware")+INDEX(C$51:C$53,MATCH(LEFT($B60,FIND(" ",$B60,FIND(" ",$B60)+1))&amp;"*",$B$51:$B$53,0))+
IF(ISNUMBER(SEARCH("STD4800",$B60)),IF(COLUMN(A$1)=1,PrixSTD+PrixRootPosiSTD,PrixSTD_Dist+PrixRPosiSTD_Dist),0)+
IF(ISNUMBER(SEARCH("LA2400",$B60)),IF(COLUMN(A$1)=1,PrixLA+PrixRootPosiLA,PrixLA_Dist+PrixRPosiPLA_Dist),0)+
IF(ISNUMBER(SEARCH(IF(Francais,"et LS","and SLS"),$B60)),IF(COLUMN(A$1)=1,PrixTPU,PrixTPU_Dist),0)+
IF(ISNUMBER(SEARCH(IF(Francais,"Sans Scanner (STD)","Without Scanner (STD)"),$B60)),IF(COLUMN(A$1)=1,(STD_GenCalib_Drivers_Instr_Techsup),(STD_GenCalib_Drivers_Instr_Techsup)*(1-RebateHardware)),0)+
IF(ISNUMBER(SEARCH(IF(Francais,"Sans Scanner (LA)","Without Scanner (LA)"),$B60)),IF(COLUMN(A$1)=1,(LA_GenCalib_Drivers_Instr_Techsup),(LA_GenCalib_Drivers_Instr_Techsup)*(1-RebateHardware)),0),
"")</f>
        <v>2168</v>
      </c>
    </row>
    <row r="61" spans="1:3" x14ac:dyDescent="0.2">
      <c r="A61" s="245"/>
      <c r="B61" t="s">
        <v>833</v>
      </c>
      <c r="C61" s="417">
        <f>IF(AND(ShowStaticListPrice,Checkbox_SansScanner),
N("PrixSoftware")+INDEX(C$51:C$53,MATCH(LEFT($B61,FIND(" ",$B61,FIND(" ",$B61)+1))&amp;"*",$B$51:$B$53,0))+
IF(ISNUMBER(SEARCH("STD4800",$B61)),IF(COLUMN(A$1)=1,PrixSTD+PrixRootPosiSTD,PrixSTD_Dist+PrixRPosiSTD_Dist),0)+
IF(ISNUMBER(SEARCH("LA2400",$B61)),IF(COLUMN(A$1)=1,PrixLA+PrixRootPosiLA,PrixLA_Dist+PrixRPosiPLA_Dist),0)+
IF(ISNUMBER(SEARCH(IF(Francais,"et LS","and SLS"),$B61)),IF(COLUMN(A$1)=1,PrixTPU,PrixTPU_Dist),0)+
IF(ISNUMBER(SEARCH(IF(Francais,"Sans Scanner (STD)","Without Scanner (STD)"),$B61)),IF(COLUMN(A$1)=1,(STD_GenCalib_Drivers_Instr_Techsup),(STD_GenCalib_Drivers_Instr_Techsup)*(1-RebateHardware)),0)+
IF(ISNUMBER(SEARCH(IF(Francais,"Sans Scanner (LA)","Without Scanner (LA)"),$B61)),IF(COLUMN(A$1)=1,(LA_GenCalib_Drivers_Instr_Techsup),(LA_GenCalib_Drivers_Instr_Techsup)*(1-RebateHardware)),0),
"")</f>
        <v>2168</v>
      </c>
    </row>
    <row r="62" spans="1:3" x14ac:dyDescent="0.2">
      <c r="A62" s="245"/>
      <c r="B62" t="s">
        <v>834</v>
      </c>
      <c r="C62" s="417">
        <f t="shared" si="0"/>
        <v>4882</v>
      </c>
    </row>
    <row r="63" spans="1:3" x14ac:dyDescent="0.2">
      <c r="A63" s="245"/>
      <c r="B63" t="s">
        <v>835</v>
      </c>
      <c r="C63" s="417">
        <f t="shared" si="0"/>
        <v>8685</v>
      </c>
    </row>
    <row r="64" spans="1:3" x14ac:dyDescent="0.2">
      <c r="A64" s="245"/>
      <c r="B64" t="s">
        <v>836</v>
      </c>
      <c r="C64" s="417">
        <f>IF(AND(ShowStaticListPrice,Checkbox_SansScanner),
N("PrixSoftware")+INDEX(C$51:C$53,MATCH(LEFT($B64,FIND(" ",$B64,FIND(" ",$B64)+1))&amp;"*",$B$51:$B$53,0))+
IF(ISNUMBER(SEARCH("STD4800",$B64)),IF(COLUMN(A$1)=1,PrixSTD+PrixRootPosiSTD,PrixSTD_Dist+PrixRPosiSTD_Dist),0)+
IF(ISNUMBER(SEARCH("LA2400",$B64)),IF(COLUMN(A$1)=1,PrixLA+PrixRootPosiLA,PrixLA_Dist+PrixRPosiPLA_Dist),0)+
IF(ISNUMBER(SEARCH(IF(Francais,"et LS","and SLS"),$B64)),IF(COLUMN(A$1)=1,PrixTPU,PrixTPU_Dist),0)+
IF(ISNUMBER(SEARCH(IF(Francais,"Sans Scanner (STD)","Without Scanner (STD)"),$B64)),IF(COLUMN(A$1)=1,(STD_GenCalib_Drivers_Instr_Techsup),(STD_GenCalib_Drivers_Instr_Techsup)*(1-RebateHardware)),0)+
IF(ISNUMBER(SEARCH(IF(Francais,"Sans Scanner (LA)","Without Scanner (LA)"),$B64)),IF(COLUMN(A$1)=1,(LA_GenCalib_Drivers_Instr_Techsup),(LA_GenCalib_Drivers_Instr_Techsup)*(1-RebateHardware)),0),
"")</f>
        <v>3477</v>
      </c>
    </row>
    <row r="65" spans="1:3" x14ac:dyDescent="0.2">
      <c r="A65" s="245"/>
      <c r="B65" t="s">
        <v>837</v>
      </c>
      <c r="C65" s="417">
        <f>IF(AND(ShowStaticListPrice,Checkbox_SansScanner),
N("PrixSoftware")+INDEX(C$51:C$53,MATCH(LEFT($B65,FIND(" ",$B65,FIND(" ",$B65)+1))&amp;"*",$B$51:$B$53,0))+
IF(ISNUMBER(SEARCH("STD4800",$B65)),IF(COLUMN(A$1)=1,PrixSTD+PrixRootPosiSTD,PrixSTD_Dist+PrixRPosiSTD_Dist),0)+
IF(ISNUMBER(SEARCH("LA2400",$B65)),IF(COLUMN(A$1)=1,PrixLA+PrixRootPosiLA,PrixLA_Dist+PrixRPosiPLA_Dist),0)+
IF(ISNUMBER(SEARCH(IF(Francais,"et LS","and SLS"),$B65)),IF(COLUMN(A$1)=1,PrixTPU,PrixTPU_Dist),0)+
IF(ISNUMBER(SEARCH(IF(Francais,"Sans Scanner (STD)","Without Scanner (STD)"),$B65)),IF(COLUMN(A$1)=1,(STD_GenCalib_Drivers_Instr_Techsup),(STD_GenCalib_Drivers_Instr_Techsup)*(1-RebateHardware)),0)+
IF(ISNUMBER(SEARCH(IF(Francais,"Sans Scanner (LA)","Without Scanner (LA)"),$B65)),IF(COLUMN(A$1)=1,(LA_GenCalib_Drivers_Instr_Techsup),(LA_GenCalib_Drivers_Instr_Techsup)*(1-RebateHardware)),0),
"")</f>
        <v>3477</v>
      </c>
    </row>
    <row r="66" spans="1:3" x14ac:dyDescent="0.2">
      <c r="A66" s="245"/>
      <c r="B66" s="45" t="s">
        <v>838</v>
      </c>
      <c r="C66" s="417"/>
    </row>
    <row r="67" spans="1:3" x14ac:dyDescent="0.2">
      <c r="A67" s="212"/>
      <c r="B67" t="s">
        <v>839</v>
      </c>
      <c r="C67" s="417">
        <f>IF(ShowStaticListPrice,PrixTraySet2Small,"")</f>
        <v>133</v>
      </c>
    </row>
    <row r="68" spans="1:3" x14ac:dyDescent="0.2">
      <c r="A68" s="245"/>
      <c r="B68" t="s">
        <v>840</v>
      </c>
      <c r="C68" s="417">
        <f>IF(ShowStaticListPrice,PrixTraySet3Small,"")</f>
        <v>195</v>
      </c>
    </row>
    <row r="69" spans="1:3" x14ac:dyDescent="0.2">
      <c r="A69" s="212"/>
      <c r="B69" t="s">
        <v>841</v>
      </c>
      <c r="C69" s="417">
        <f>IF(ShowStaticListPrice,PrixTray10x15cm,"")</f>
        <v>61</v>
      </c>
    </row>
    <row r="70" spans="1:3" x14ac:dyDescent="0.2">
      <c r="A70" s="245"/>
      <c r="B70" t="s">
        <v>842</v>
      </c>
      <c r="C70" s="417">
        <f>IF(ShowStaticListPrice,PrixTray15x20cm,"")</f>
        <v>67</v>
      </c>
    </row>
    <row r="71" spans="1:3" x14ac:dyDescent="0.2">
      <c r="A71" s="212"/>
      <c r="B71" t="s">
        <v>843</v>
      </c>
      <c r="C71" s="417">
        <f>IF(ShowStaticListPrice,PrixTray20x25cm,"")</f>
        <v>73</v>
      </c>
    </row>
    <row r="72" spans="1:3" x14ac:dyDescent="0.2">
      <c r="A72" s="245"/>
      <c r="B72" t="s">
        <v>844</v>
      </c>
      <c r="C72" s="417">
        <f>IF(ShowStaticListPrice,PrixTraySet2MedLarge,"")</f>
        <v>193</v>
      </c>
    </row>
    <row r="73" spans="1:3" x14ac:dyDescent="0.2">
      <c r="A73" s="212"/>
      <c r="B73" t="s">
        <v>845</v>
      </c>
      <c r="C73" s="417">
        <f>IF(ShowStaticListPrice,PrixTraySet3MedLarge,"")</f>
        <v>273</v>
      </c>
    </row>
    <row r="74" spans="1:3" x14ac:dyDescent="0.2">
      <c r="A74" s="245"/>
      <c r="B74" t="s">
        <v>846</v>
      </c>
      <c r="C74" s="417">
        <f>IF(ShowStaticListPrice,PrixTraySet5SmallMedLarge,"")</f>
        <v>401</v>
      </c>
    </row>
    <row r="75" spans="1:3" x14ac:dyDescent="0.2">
      <c r="A75" s="212"/>
      <c r="B75" t="s">
        <v>847</v>
      </c>
      <c r="C75" s="417">
        <f>IF(ShowStaticListPrice,PrixTray20x30cm,"")</f>
        <v>78</v>
      </c>
    </row>
    <row r="76" spans="1:3" x14ac:dyDescent="0.2">
      <c r="A76" s="245"/>
      <c r="B76" t="s">
        <v>848</v>
      </c>
      <c r="C76" s="417">
        <f>IF(ShowStaticListPrice,PrixTray25x35cm,"")</f>
        <v>84</v>
      </c>
    </row>
    <row r="77" spans="1:3" x14ac:dyDescent="0.2">
      <c r="A77" s="212"/>
      <c r="B77" t="s">
        <v>849</v>
      </c>
      <c r="C77" s="417">
        <f>IF(ShowStaticListPrice,PrixTray30x40cm,"")</f>
        <v>106</v>
      </c>
    </row>
    <row r="78" spans="1:3" x14ac:dyDescent="0.2">
      <c r="A78" s="228"/>
      <c r="B78" s="228"/>
      <c r="C78" s="420"/>
    </row>
    <row r="79" spans="1:3" x14ac:dyDescent="0.2">
      <c r="A79" s="228"/>
      <c r="B79" t="s">
        <v>372</v>
      </c>
      <c r="C79" s="417">
        <f>IF(ShowStaticListPrice,Calc!A58,"")</f>
        <v>1184</v>
      </c>
    </row>
    <row r="80" spans="1:3" x14ac:dyDescent="0.2">
      <c r="A80" s="228"/>
      <c r="B80" t="s">
        <v>209</v>
      </c>
      <c r="C80" s="417">
        <f>IF(ShowStaticListPrice,Calc!A59,"")</f>
        <v>1665</v>
      </c>
    </row>
    <row r="81" spans="1:3" x14ac:dyDescent="0.2">
      <c r="A81" s="228"/>
      <c r="B81" t="s">
        <v>210</v>
      </c>
      <c r="C81" s="417">
        <f>IF(ShowStaticListPrice,Calc!A60,"")</f>
        <v>2540</v>
      </c>
    </row>
    <row r="82" spans="1:3" x14ac:dyDescent="0.2">
      <c r="A82" s="234"/>
      <c r="B82" s="234"/>
      <c r="C82" s="421"/>
    </row>
    <row r="83" spans="1:3" x14ac:dyDescent="0.2">
      <c r="A83" s="234"/>
      <c r="B83" t="s">
        <v>211</v>
      </c>
      <c r="C83" s="417">
        <f>IF(ShowStaticListPrice,Calc!A61,"")</f>
        <v>1273</v>
      </c>
    </row>
    <row r="84" spans="1:3" x14ac:dyDescent="0.2">
      <c r="A84" s="234"/>
      <c r="B84" t="s">
        <v>212</v>
      </c>
      <c r="C84" s="417">
        <f>IF(ShowStaticListPrice,Calc!A62,"")</f>
        <v>2079</v>
      </c>
    </row>
    <row r="85" spans="1:3" x14ac:dyDescent="0.2">
      <c r="A85" s="234"/>
      <c r="B85" t="s">
        <v>213</v>
      </c>
      <c r="C85" s="417">
        <f>IF(ShowStaticListPrice,Calc!A63,"")</f>
        <v>3685</v>
      </c>
    </row>
    <row r="86" spans="1:3" x14ac:dyDescent="0.2">
      <c r="A86" s="234"/>
      <c r="B86" t="s">
        <v>850</v>
      </c>
      <c r="C86" s="417">
        <f>IF(AND(ShowStaticListPrice,Checkbox_WithScan),
N("PrixSoftware")+INDEX(C$83:C$85,MATCH(LEFT($B86,FIND(" ",$B86,FIND(" ",$B86)+1))&amp;"*",$B$83:$B$85,0))+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2576</v>
      </c>
    </row>
    <row r="87" spans="1:3" x14ac:dyDescent="0.2">
      <c r="A87" s="234"/>
      <c r="B87" t="s">
        <v>851</v>
      </c>
      <c r="C87" s="417">
        <f>IF(AND(ShowStaticListPrice,Checkbox_WithScan),
N("PrixSoftware")+INDEX(C$83:C$85,MATCH(LEFT($B87,FIND(" ",$B87,FIND(" ",$B87)+1))&amp;"*",$B$83:$B$85,0))+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5361</v>
      </c>
    </row>
    <row r="88" spans="1:3" x14ac:dyDescent="0.2">
      <c r="A88" s="234"/>
      <c r="B88" t="s">
        <v>852</v>
      </c>
      <c r="C88" s="417">
        <f>IF(AND(ShowStaticListPrice,Checkbox_WithScan),
N("PrixSoftware")+INDEX(C$83:C$85,MATCH(LEFT($B88,FIND(" ",$B88,FIND(" ",$B88)+1))&amp;"*",$B$83:$B$85,0))+
IF(ISNUMBER(SEARCH("STD4800",$B88)),IF(COLUMN(A$1)=1,PrixSTD+PrixBlBgSTD,PrixSTD_Dist+PrixBlBgSTD*(1-RebateHardware)),0)+
IF(ISNUMBER(SEARCH("LA2400",$B88)),IF(COLUMN(A$1)=1,PrixLA+PrixBlBgLA,PrixLA_Dist+PrixBlBgLA*(1-RebateHardware)),0)+
IF(ISNUMBER(SEARCH(IF(Francais,"et LS","and SLS"),$B88)),IF(COLUMN(A$1)=1,PrixTPU,PrixTPU_Dist),0)+
IF(ISNUMBER(SEARCH(IF(Francais,"Sans Scanner (STD)","Without Scanner (STD)"),$B88)),(STD_GenCalib_Drivers_Instr_Techsup+PrixBlBgSTD)*(1-RebateHardware*0),0)+
IF(ISNUMBER(SEARCH(IF(Francais,"Sans Scanner (LA)","Without Scanner (LA)"),$B88)),(LA_GenCalib_Drivers_Instr_Techsup+PrixBlBgLA)*(1-RebateHardware*0),0),
"")</f>
        <v>6132</v>
      </c>
    </row>
    <row r="89" spans="1:3" x14ac:dyDescent="0.2">
      <c r="A89" s="234"/>
      <c r="B89" t="s">
        <v>853</v>
      </c>
      <c r="C89" s="417">
        <f>IF(AND(ShowStaticListPrice,Checkbox_SansScanner),
N("PrixSoftware")+INDEX(C$83:C$85,MATCH(LEFT($B89,FIND(" ",$B89,FIND(" ",$B89)+1))&amp;"*",$B$83:$B$85,0))+
IF(ISNUMBER(SEARCH("STD4800",$B89)),IF(COLUMN(A$1)=1,PrixSTD+PrixBlBgSTD,PrixSTD_Dist+PrixBlBgSTD*(1-RebateHardware)),0)+
IF(ISNUMBER(SEARCH("LA2400",$B89)),IF(COLUMN(A$1)=1,PrixLA+PrixBlBgLA,PrixLA_Dist+PrixBlBgLA*(1-RebateHardware)),0)+
IF(ISNUMBER(SEARCH(IF(Francais,"et LS","and SLS"),$B89)),IF(COLUMN(A$1)=1,PrixTPU,PrixTPU_Dist),0)+
IF(ISNUMBER(SEARCH(IF(Francais,"Sans Scanner (STD)","Without Scanner (STD)"),$B89)),(STD_GenCalib_Drivers_Instr_Techsup+PrixBlBgSTD)*(1-RebateHardware*0),0)+
IF(ISNUMBER(SEARCH(IF(Francais,"Sans Scanner (LA)","Without Scanner (LA)"),$B89)),(LA_GenCalib_Drivers_Instr_Techsup+PrixBlBgLA)*(1-RebateHardware*0),0),
"")</f>
        <v>1447</v>
      </c>
    </row>
    <row r="90" spans="1:3" x14ac:dyDescent="0.2">
      <c r="A90" s="234"/>
      <c r="B90" t="s">
        <v>854</v>
      </c>
      <c r="C90" s="417">
        <f>IF(AND(ShowStaticListPrice,Checkbox_SansScanner),
N("PrixSoftware")+INDEX(C$83:C$85,MATCH(LEFT($B90,FIND(" ",$B90,FIND(" ",$B90)+1))&amp;"*",$B$83:$B$85,0))+
IF(ISNUMBER(SEARCH("STD4800",$B90)),IF(COLUMN(A$1)=1,PrixSTD+PrixBlBgSTD,PrixSTD_Dist+PrixBlBgSTD*(1-RebateHardware)),0)+
IF(ISNUMBER(SEARCH("LA2400",$B90)),IF(COLUMN(A$1)=1,PrixLA+PrixBlBgLA,PrixLA_Dist+PrixBlBgLA*(1-RebateHardware)),0)+
IF(ISNUMBER(SEARCH(IF(Francais,"et LS","and SLS"),$B90)),IF(COLUMN(A$1)=1,PrixTPU,PrixTPU_Dist),0)+
IF(ISNUMBER(SEARCH(IF(Francais,"Sans Scanner (STD)","Without Scanner (STD)"),$B90)),(STD_GenCalib_Drivers_Instr_Techsup+PrixBlBgSTD)*(1-RebateHardware*0),0)+
IF(ISNUMBER(SEARCH(IF(Francais,"Sans Scanner (LA)","Without Scanner (LA)"),$B90)),(LA_GenCalib_Drivers_Instr_Techsup+PrixBlBgLA)*(1-RebateHardware*0),0),
"")</f>
        <v>1469</v>
      </c>
    </row>
    <row r="91" spans="1:3" x14ac:dyDescent="0.2">
      <c r="A91" s="234"/>
      <c r="B91" t="s">
        <v>855</v>
      </c>
      <c r="C91" s="417">
        <f>IF(AND(ShowStaticListPrice,Checkbox_WithScan),
N("PrixSoftware")+INDEX(C$83:C$85,MATCH(LEFT($B91,FIND(" ",$B91,FIND(" ",$B91)+1))&amp;"*",$B$83:$B$85,0))+
IF(ISNUMBER(SEARCH("STD4800",$B91)),IF(COLUMN(A$1)=1,PrixSTD+PrixBlBgSTD,PrixSTD_Dist+PrixBlBgSTD*(1-RebateHardware)),0)+
IF(ISNUMBER(SEARCH("LA2400",$B91)),IF(COLUMN(A$1)=1,PrixLA+PrixBlBgLA,PrixLA_Dist+PrixBlBgLA*(1-RebateHardware)),0)+
IF(ISNUMBER(SEARCH(IF(Francais,"et LS","and SLS"),$B91)),IF(COLUMN(A$1)=1,PrixTPU,PrixTPU_Dist),0)+
IF(ISNUMBER(SEARCH(IF(Francais,"Sans Scanner (STD)","Without Scanner (STD)"),$B91)),(STD_GenCalib_Drivers_Instr_Techsup+PrixBlBgSTD)*(1-RebateHardware*0),0)+
IF(ISNUMBER(SEARCH(IF(Francais,"Sans Scanner (LA)","Without Scanner (LA)"),$B91)),(LA_GenCalib_Drivers_Instr_Techsup+PrixBlBgLA)*(1-RebateHardware*0),0),
"")</f>
        <v>3382</v>
      </c>
    </row>
    <row r="92" spans="1:3" x14ac:dyDescent="0.2">
      <c r="A92" s="234"/>
      <c r="B92" t="s">
        <v>856</v>
      </c>
      <c r="C92" s="417">
        <f>IF(AND(ShowStaticListPrice,Checkbox_WithScan),
N("PrixSoftware")+INDEX(C$83:C$85,MATCH(LEFT($B92,FIND(" ",$B92,FIND(" ",$B92)+1))&amp;"*",$B$83:$B$85,0))+
IF(ISNUMBER(SEARCH("STD4800",$B92)),IF(COLUMN(A$1)=1,PrixSTD+PrixBlBgSTD,PrixSTD_Dist+PrixBlBgSTD*(1-RebateHardware)),0)+
IF(ISNUMBER(SEARCH("LA2400",$B92)),IF(COLUMN(A$1)=1,PrixLA+PrixBlBgLA,PrixLA_Dist+PrixBlBgLA*(1-RebateHardware)),0)+
IF(ISNUMBER(SEARCH(IF(Francais,"et LS","and SLS"),$B92)),IF(COLUMN(A$1)=1,PrixTPU,PrixTPU_Dist),0)+
IF(ISNUMBER(SEARCH(IF(Francais,"Sans Scanner (STD)","Without Scanner (STD)"),$B92)),(STD_GenCalib_Drivers_Instr_Techsup+PrixBlBgSTD)*(1-RebateHardware*0),0)+
IF(ISNUMBER(SEARCH(IF(Francais,"Sans Scanner (LA)","Without Scanner (LA)"),$B92)),(LA_GenCalib_Drivers_Instr_Techsup+PrixBlBgLA)*(1-RebateHardware*0),0),
"")</f>
        <v>6167</v>
      </c>
    </row>
    <row r="93" spans="1:3" x14ac:dyDescent="0.2">
      <c r="A93" s="234"/>
      <c r="B93" t="s">
        <v>857</v>
      </c>
      <c r="C93" s="417">
        <f>IF(AND(ShowStaticListPrice,Checkbox_WithScan),
N("PrixSoftware")+INDEX(C$83:C$85,MATCH(LEFT($B93,FIND(" ",$B93,FIND(" ",$B93)+1))&amp;"*",$B$83:$B$85,0))+
IF(ISNUMBER(SEARCH("STD4800",$B93)),IF(COLUMN(A$1)=1,PrixSTD+PrixBlBgSTD,PrixSTD_Dist+PrixBlBgSTD*(1-RebateHardware)),0)+
IF(ISNUMBER(SEARCH("LA2400",$B93)),IF(COLUMN(A$1)=1,PrixLA+PrixBlBgLA,PrixLA_Dist+PrixBlBgLA*(1-RebateHardware)),0)+
IF(ISNUMBER(SEARCH(IF(Francais,"et LS","and SLS"),$B93)),IF(COLUMN(A$1)=1,PrixTPU,PrixTPU_Dist),0)+
IF(ISNUMBER(SEARCH(IF(Francais,"Sans Scanner (STD)","Without Scanner (STD)"),$B93)),(STD_GenCalib_Drivers_Instr_Techsup+PrixBlBgSTD)*(1-RebateHardware*0),0)+
IF(ISNUMBER(SEARCH(IF(Francais,"Sans Scanner (LA)","Without Scanner (LA)"),$B93)),(LA_GenCalib_Drivers_Instr_Techsup+PrixBlBgLA)*(1-RebateHardware*0),0),
"")</f>
        <v>6938</v>
      </c>
    </row>
    <row r="94" spans="1:3" x14ac:dyDescent="0.2">
      <c r="A94" s="234"/>
      <c r="B94" t="s">
        <v>858</v>
      </c>
      <c r="C94" s="417">
        <f>IF(AND(ShowStaticListPrice,Checkbox_SansScanner),
N("PrixSoftware")+INDEX(C$83:C$85,MATCH(LEFT($B94,FIND(" ",$B94,FIND(" ",$B94)+1))&amp;"*",$B$83:$B$85,0))+
IF(ISNUMBER(SEARCH("STD4800",$B94)),IF(COLUMN(A$1)=1,PrixSTD+PrixBlBgSTD,PrixSTD_Dist+PrixBlBgSTD*(1-RebateHardware)),0)+
IF(ISNUMBER(SEARCH("LA2400",$B94)),IF(COLUMN(A$1)=1,PrixLA+PrixBlBgLA,PrixLA_Dist+PrixBlBgLA*(1-RebateHardware)),0)+
IF(ISNUMBER(SEARCH(IF(Francais,"et LS","and SLS"),$B94)),IF(COLUMN(A$1)=1,PrixTPU,PrixTPU_Dist),0)+
IF(ISNUMBER(SEARCH(IF(Francais,"Sans Scanner (STD)","Without Scanner (STD)"),$B94)),(STD_GenCalib_Drivers_Instr_Techsup+PrixBlBgSTD)*(1-RebateHardware*0),0)+
IF(ISNUMBER(SEARCH(IF(Francais,"Sans Scanner (LA)","Without Scanner (LA)"),$B94)),(LA_GenCalib_Drivers_Instr_Techsup+PrixBlBgLA)*(1-RebateHardware*0),0),
"")</f>
        <v>2253</v>
      </c>
    </row>
    <row r="95" spans="1:3" x14ac:dyDescent="0.2">
      <c r="A95" s="234"/>
      <c r="B95" t="s">
        <v>859</v>
      </c>
      <c r="C95" s="417">
        <f>IF(AND(ShowStaticListPrice,Checkbox_SansScanner),
N("PrixSoftware")+INDEX(C$83:C$85,MATCH(LEFT($B95,FIND(" ",$B95,FIND(" ",$B95)+1))&amp;"*",$B$83:$B$85,0))+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2275</v>
      </c>
    </row>
    <row r="96" spans="1:3" x14ac:dyDescent="0.2">
      <c r="A96" s="234"/>
      <c r="B96" t="s">
        <v>860</v>
      </c>
      <c r="C96" s="417">
        <f>IF(AND(ShowStaticListPrice,Checkbox_WithScan),
N("PrixSoftware")+INDEX(C$83:C$85,MATCH(LEFT($B96,FIND(" ",$B96,FIND(" ",$B96)+1))&amp;"*",$B$83:$B$85,0))+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4988</v>
      </c>
    </row>
    <row r="97" spans="1:3" x14ac:dyDescent="0.2">
      <c r="A97" s="234"/>
      <c r="B97" t="s">
        <v>861</v>
      </c>
      <c r="C97" s="417">
        <f>IF(AND(ShowStaticListPrice,Checkbox_WithScan),
N("PrixSoftware")+INDEX(C$83:C$85,MATCH(LEFT($B97,FIND(" ",$B97,FIND(" ",$B97)+1))&amp;"*",$B$83:$B$85,0))+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7773</v>
      </c>
    </row>
    <row r="98" spans="1:3" x14ac:dyDescent="0.2">
      <c r="A98" s="234"/>
      <c r="B98" t="s">
        <v>862</v>
      </c>
      <c r="C98" s="417">
        <f>IF(AND(ShowStaticListPrice,Checkbox_WithScan),
N("PrixSoftware")+INDEX(C$83:C$85,MATCH(LEFT($B98,FIND(" ",$B98,FIND(" ",$B98)+1))&amp;"*",$B$83:$B$85,0))+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8544</v>
      </c>
    </row>
    <row r="99" spans="1:3" x14ac:dyDescent="0.2">
      <c r="A99" s="234"/>
      <c r="B99" t="s">
        <v>863</v>
      </c>
      <c r="C99" s="417">
        <f>IF(AND(ShowStaticListPrice,Checkbox_SansScanner),
N("PrixSoftware")+INDEX(C$83:C$85,MATCH(LEFT($B99,FIND(" ",$B99,FIND(" ",$B99)+1))&amp;"*",$B$83:$B$85,0))+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3859</v>
      </c>
    </row>
    <row r="100" spans="1:3" x14ac:dyDescent="0.2">
      <c r="A100" s="234"/>
      <c r="B100" t="s">
        <v>864</v>
      </c>
      <c r="C100" s="417">
        <f>IF(AND(ShowStaticListPrice,Checkbox_SansScanner),
N("PrixSoftware")+INDEX(C$83:C$85,MATCH(LEFT($B100,FIND(" ",$B100,FIND(" ",$B100)+1))&amp;"*",$B$83:$B$85,0))+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3881</v>
      </c>
    </row>
    <row r="101" spans="1:3" x14ac:dyDescent="0.2">
      <c r="A101" s="234"/>
      <c r="B101" t="s">
        <v>865</v>
      </c>
      <c r="C101" s="417">
        <f>IF(AND(ShowStaticListPrice,Checkbox_WithScan),
N("PrixSoftware")+INDEX(Calc!A$61:A$63,MATCH(LEFT($B101,FIND(" ",$B101,FIND(" ",$B101)+1))&amp;"*",{"WinFOLIA™ Basic 32&amp;64bit";"WinFOLIA™ Reg 32&amp;64bit";"WinFOLIA™ Pro 32&amp;64bit"},0))
+PrixLC+PrixBlBgLC,
"")</f>
        <v>1494</v>
      </c>
    </row>
    <row r="102" spans="1:3" x14ac:dyDescent="0.2">
      <c r="A102" s="234"/>
      <c r="B102" t="s">
        <v>866</v>
      </c>
      <c r="C102" s="417">
        <f>IF(AND(ShowStaticListPrice,Checkbox_WithScan),
N("PrixSoftware")+INDEX(Calc!A$61:A$63,MATCH(LEFT($B102,FIND(" ",$B102,FIND(" ",$B102)+1))&amp;"*",{"WinFOLIA™ Basic 32&amp;64bit";"WinFOLIA™ Reg 32&amp;64bit";"WinFOLIA™ Pro 32&amp;64bit"},0))
+PrixLC+PrixBlBgLC,
"")</f>
        <v>2300</v>
      </c>
    </row>
    <row r="103" spans="1:3" x14ac:dyDescent="0.2">
      <c r="A103" s="234"/>
      <c r="B103" t="s">
        <v>867</v>
      </c>
      <c r="C103" s="417">
        <f>IF(AND(ShowStaticListPrice,Checkbox_WithScan),
N("PrixSoftware")+INDEX(Calc!A$61:A$63,MATCH(LEFT($B103,FIND(" ",$B103,FIND(" ",$B103)+1))&amp;"*",{"WinFOLIA™ Basic 32&amp;64bit";"WinFOLIA™ Reg 32&amp;64bit";"WinFOLIA™ Pro 32&amp;64bit"},0))
+PrixLC+PrixBlBgLC,
"")</f>
        <v>3906</v>
      </c>
    </row>
    <row r="104" spans="1:3" x14ac:dyDescent="0.2">
      <c r="A104" s="234"/>
      <c r="B104" t="s">
        <v>868</v>
      </c>
      <c r="C104" s="417">
        <f>IF(AND(ShowStaticListPrice,Checkbox_SansScanner),
N("PrixSoftware")+INDEX(Calc!A$61:A$63,MATCH(LEFT($B104,FIND(" ",$B104,FIND(" ",$B104)+1))&amp;"*",{"WinFOLIA™ Basic 32&amp;64bit";"WinFOLIA™ Reg 32&amp;64bit";"WinFOLIA™ Pro 32&amp;64bit"},0))
+LC_GenCalib_Drivers_Instr_Techsup+PrixBlBgLC,
"")</f>
        <v>1392</v>
      </c>
    </row>
    <row r="105" spans="1:3" x14ac:dyDescent="0.2">
      <c r="A105" s="234"/>
      <c r="B105" t="s">
        <v>869</v>
      </c>
      <c r="C105" s="417">
        <f>IF(AND(ShowStaticListPrice,Checkbox_SansScanner),
N("PrixSoftware")+INDEX(Calc!A$61:A$63,MATCH(LEFT($B105,FIND(" ",$B105,FIND(" ",$B105)+1))&amp;"*",{"WinFOLIA™ Basic 32&amp;64bit";"WinFOLIA™ Reg 32&amp;64bit";"WinFOLIA™ Pro 32&amp;64bit"},0))
+LC_GenCalib_Drivers_Instr_Techsup+PrixBlBgLC,
"")</f>
        <v>2198</v>
      </c>
    </row>
    <row r="106" spans="1:3" x14ac:dyDescent="0.2">
      <c r="A106" s="234"/>
      <c r="B106" t="s">
        <v>870</v>
      </c>
      <c r="C106" s="417">
        <f>IF(AND(ShowStaticListPrice,Checkbox_SansScanner),
N("PrixSoftware")+INDEX(Calc!A$61:A$63,MATCH(LEFT($B106,FIND(" ",$B106,FIND(" ",$B106)+1))&amp;"*",{"WinFOLIA™ Basic 32&amp;64bit";"WinFOLIA™ Reg 32&amp;64bit";"WinFOLIA™ Pro 32&amp;64bit"},0))
+LC_GenCalib_Drivers_Instr_Techsup+PrixBlBgLC,
"")</f>
        <v>3804</v>
      </c>
    </row>
    <row r="107" spans="1:3" x14ac:dyDescent="0.2">
      <c r="A107" s="423"/>
      <c r="B107" s="423"/>
      <c r="C107" s="423"/>
    </row>
    <row r="108" spans="1:3" x14ac:dyDescent="0.2">
      <c r="A108" s="423"/>
      <c r="B108" t="s">
        <v>374</v>
      </c>
      <c r="C108" s="417">
        <f>IF(ShowStaticListPrice,Calc!A67,"")</f>
        <v>1294</v>
      </c>
    </row>
    <row r="109" spans="1:3" x14ac:dyDescent="0.2">
      <c r="A109" s="423"/>
      <c r="B109" t="s">
        <v>375</v>
      </c>
      <c r="C109" s="417">
        <f>IF(ShowStaticListPrice,Calc!A68,"")</f>
        <v>1739</v>
      </c>
    </row>
    <row r="110" spans="1:3" x14ac:dyDescent="0.2">
      <c r="A110" s="423"/>
      <c r="B110" t="s">
        <v>221</v>
      </c>
      <c r="C110" s="417">
        <f>IF(ShowStaticListPrice,Calc!A69,"")</f>
        <v>2626</v>
      </c>
    </row>
    <row r="111" spans="1:3" x14ac:dyDescent="0.2">
      <c r="A111" s="423"/>
      <c r="B111" t="s">
        <v>871</v>
      </c>
      <c r="C111" s="417">
        <f>IF(AND(ShowStaticListPrice,Checkbox_WithScan),
N("PrixSoftware")+INDEX(C$108:C$110,MATCH(LEFT($B111,FIND(" ",$B111,FIND(" ",$B111)+1))&amp;"*",$B$108:$B$110,0))+
IF(ISNUMBER(SEARCH("STD4800",$B111)),IF(COLUMN(A$1)=1,PrixSTD+PrixBlBgSTD,PrixSTD_Dist+PrixBlBgSTD*(1-RebateHardware)),0)+
IF(ISNUMBER(SEARCH("LA2400",$B111)),IF(COLUMN(A$1)=1,PrixLA+PrixBlBgLA,PrixLA_Dist+PrixBlBgLA*(1-RebateHardware)),0)+
IF(ISNUMBER(SEARCH(IF(Francais,"et LS","and SLS"),$B111)),IF(COLUMN(A$1)=1,PrixTPU,PrixTPU_Dist),0)+
IF(ISNUMBER(SEARCH(IF(Francais,"Sans Scanner (STD)","Without Scanner (STD)"),$B111)),(STD_GenCalib_Drivers_Instr_Techsup+PrixBlBgSTD)*(1-RebateHardware*0),0)+
IF(ISNUMBER(SEARCH(IF(Francais,"Sans Scanner (LA)","Without Scanner (LA)"),$B111)),(LA_GenCalib_Drivers_Instr_Techsup+PrixBlBgLA)*(1-RebateHardware*0),0),
"")</f>
        <v>2597</v>
      </c>
    </row>
    <row r="112" spans="1:3" x14ac:dyDescent="0.2">
      <c r="A112" s="423"/>
      <c r="B112" t="s">
        <v>872</v>
      </c>
      <c r="C112" s="417">
        <f>IF(AND(ShowStaticListPrice,Checkbox_WithScan),
N("PrixSoftware")+INDEX(C$108:C$110,MATCH(LEFT($B112,FIND(" ",$B112,FIND(" ",$B112)+1))&amp;"*",$B$108:$B$110,0))+
IF(ISNUMBER(SEARCH("STD4800",$B112)),IF(COLUMN(A$1)=1,PrixSTD+PrixBlBgSTD,PrixSTD_Dist+PrixBlBgSTD*(1-RebateHardware)),0)+
IF(ISNUMBER(SEARCH("LA2400",$B112)),IF(COLUMN(A$1)=1,PrixLA+PrixBlBgLA,PrixLA_Dist+PrixBlBgLA*(1-RebateHardware)),0)+
IF(ISNUMBER(SEARCH(IF(Francais,"et LS","and SLS"),$B112)),IF(COLUMN(A$1)=1,PrixTPU,PrixTPU_Dist),0)+
IF(ISNUMBER(SEARCH(IF(Francais,"Sans Scanner (STD)","Without Scanner (STD)"),$B112)),(STD_GenCalib_Drivers_Instr_Techsup+PrixBlBgSTD)*(1-RebateHardware*0),0)+
IF(ISNUMBER(SEARCH(IF(Francais,"Sans Scanner (LA)","Without Scanner (LA)"),$B112)),(LA_GenCalib_Drivers_Instr_Techsup+PrixBlBgLA)*(1-RebateHardware*0),0),
"")</f>
        <v>5382</v>
      </c>
    </row>
    <row r="113" spans="1:3" x14ac:dyDescent="0.2">
      <c r="A113" s="423"/>
      <c r="B113" t="s">
        <v>873</v>
      </c>
      <c r="C113" s="417">
        <f>IF(AND(ShowStaticListPrice,Checkbox_WithScan),
N("PrixSoftware")+INDEX(C$108:C$110,MATCH(LEFT($B113,FIND(" ",$B113,FIND(" ",$B113)+1))&amp;"*",$B$108:$B$110,0))+
IF(ISNUMBER(SEARCH("STD4800",$B113)),IF(COLUMN(A$1)=1,PrixSTD+PrixBlBgSTD,PrixSTD_Dist+PrixBlBgSTD*(1-RebateHardware)),0)+
IF(ISNUMBER(SEARCH("LA2400",$B113)),IF(COLUMN(A$1)=1,PrixLA+PrixBlBgLA,PrixLA_Dist+PrixBlBgLA*(1-RebateHardware)),0)+
IF(ISNUMBER(SEARCH(IF(Francais,"et LS","and SLS"),$B113)),IF(COLUMN(A$1)=1,PrixTPU,PrixTPU_Dist),0)+
IF(ISNUMBER(SEARCH(IF(Francais,"Sans Scanner (STD)","Without Scanner (STD)"),$B113)),(STD_GenCalib_Drivers_Instr_Techsup+PrixBlBgSTD)*(1-RebateHardware*0),0)+
IF(ISNUMBER(SEARCH(IF(Francais,"Sans Scanner (LA)","Without Scanner (LA)"),$B113)),(LA_GenCalib_Drivers_Instr_Techsup+PrixBlBgLA)*(1-RebateHardware*0),0),
"")</f>
        <v>6153</v>
      </c>
    </row>
    <row r="114" spans="1:3" x14ac:dyDescent="0.2">
      <c r="A114" s="423"/>
      <c r="B114" t="s">
        <v>874</v>
      </c>
      <c r="C114" s="417">
        <f>IF(AND(ShowStaticListPrice,Checkbox_SansScanner),
N("PrixSoftware")+INDEX(C$108:C$110,MATCH(LEFT($B114,FIND(" ",$B114,FIND(" ",$B114)+1))&amp;"*",$B$108:$B$110,0))+
IF(ISNUMBER(SEARCH("STD4800",$B114)),IF(COLUMN(A$1)=1,PrixSTD+PrixBlBgSTD,PrixSTD_Dist+PrixBlBgSTD*(1-RebateHardware)),0)+
IF(ISNUMBER(SEARCH("LA2400",$B114)),IF(COLUMN(A$1)=1,PrixLA+PrixBlBgLA,PrixLA_Dist+PrixBlBgLA*(1-RebateHardware)),0)+
IF(ISNUMBER(SEARCH(IF(Francais,"et LS","and SLS"),$B114)),IF(COLUMN(A$1)=1,PrixTPU,PrixTPU_Dist),0)+
IF(ISNUMBER(SEARCH(IF(Francais,"Sans Scanner (STD)","Without Scanner (STD)"),$B114)),(STD_GenCalib_Drivers_Instr_Techsup+PrixBlBgSTD)*(1-RebateHardware*0),0)+
IF(ISNUMBER(SEARCH(IF(Francais,"Sans Scanner (LA)","Without Scanner (LA)"),$B114)),(LA_GenCalib_Drivers_Instr_Techsup+PrixBlBgLA)*(1-RebateHardware*0),0),
"")</f>
        <v>1468</v>
      </c>
    </row>
    <row r="115" spans="1:3" x14ac:dyDescent="0.2">
      <c r="A115" s="423"/>
      <c r="B115" t="s">
        <v>875</v>
      </c>
      <c r="C115" s="417">
        <f>IF(AND(ShowStaticListPrice,Checkbox_SansScanner),
N("PrixSoftware")+INDEX(C$108:C$110,MATCH(LEFT($B115,FIND(" ",$B115,FIND(" ",$B115)+1))&amp;"*",$B$108:$B$110,0))+
IF(ISNUMBER(SEARCH("STD4800",$B115)),IF(COLUMN(A$1)=1,PrixSTD+PrixBlBgSTD,PrixSTD_Dist+PrixBlBgSTD*(1-RebateHardware)),0)+
IF(ISNUMBER(SEARCH("LA2400",$B115)),IF(COLUMN(A$1)=1,PrixLA+PrixBlBgLA,PrixLA_Dist+PrixBlBgLA*(1-RebateHardware)),0)+
IF(ISNUMBER(SEARCH(IF(Francais,"et LS","and SLS"),$B115)),IF(COLUMN(A$1)=1,PrixTPU,PrixTPU_Dist),0)+
IF(ISNUMBER(SEARCH(IF(Francais,"Sans Scanner (STD)","Without Scanner (STD)"),$B115)),(STD_GenCalib_Drivers_Instr_Techsup+PrixBlBgSTD)*(1-RebateHardware*0),0)+
IF(ISNUMBER(SEARCH(IF(Francais,"Sans Scanner (LA)","Without Scanner (LA)"),$B115)),(LA_GenCalib_Drivers_Instr_Techsup+PrixBlBgLA)*(1-RebateHardware*0),0),
"")</f>
        <v>1490</v>
      </c>
    </row>
    <row r="116" spans="1:3" x14ac:dyDescent="0.2">
      <c r="A116" s="423"/>
      <c r="B116" t="s">
        <v>876</v>
      </c>
      <c r="C116" s="417">
        <f>IF(AND(ShowStaticListPrice,Checkbox_WithScan),
N("PrixSoftware")+INDEX(C$108:C$110,MATCH(LEFT($B116,FIND(" ",$B116,FIND(" ",$B116)+1))&amp;"*",$B$108:$B$110,0))+
IF(ISNUMBER(SEARCH("STD4800",$B116)),IF(COLUMN(A$1)=1,PrixSTD+PrixBlBgSTD,PrixSTD_Dist+PrixBlBgSTD*(1-RebateHardware)),0)+
IF(ISNUMBER(SEARCH("LA2400",$B116)),IF(COLUMN(A$1)=1,PrixLA+PrixBlBgLA,PrixLA_Dist+PrixBlBgLA*(1-RebateHardware)),0)+
IF(ISNUMBER(SEARCH(IF(Francais,"et LS","and SLS"),$B116)),IF(COLUMN(A$1)=1,PrixTPU,PrixTPU_Dist),0)+
IF(ISNUMBER(SEARCH(IF(Francais,"Sans Scanner (STD)","Without Scanner (STD)"),$B116)),(STD_GenCalib_Drivers_Instr_Techsup+PrixBlBgSTD)*(1-RebateHardware*0),0)+
IF(ISNUMBER(SEARCH(IF(Francais,"Sans Scanner (LA)","Without Scanner (LA)"),$B116)),(LA_GenCalib_Drivers_Instr_Techsup+PrixBlBgLA)*(1-RebateHardware*0),0),
"")</f>
        <v>2597</v>
      </c>
    </row>
    <row r="117" spans="1:3" x14ac:dyDescent="0.2">
      <c r="A117" s="423"/>
      <c r="B117" t="s">
        <v>877</v>
      </c>
      <c r="C117" s="417">
        <f>IF(AND(ShowStaticListPrice,Checkbox_WithScan),
N("PrixSoftware")+INDEX(C$108:C$110,MATCH(LEFT($B117,FIND(" ",$B117,FIND(" ",$B117)+1))&amp;"*",$B$108:$B$110,0))+
IF(ISNUMBER(SEARCH("STD4800",$B117)),IF(COLUMN(A$1)=1,PrixSTD+PrixBlBgSTD,PrixSTD_Dist+PrixBlBgSTD*(1-RebateHardware)),0)+
IF(ISNUMBER(SEARCH("LA2400",$B117)),IF(COLUMN(A$1)=1,PrixLA+PrixBlBgLA,PrixLA_Dist+PrixBlBgLA*(1-RebateHardware)),0)+
IF(ISNUMBER(SEARCH(IF(Francais,"et LS","and SLS"),$B117)),IF(COLUMN(A$1)=1,PrixTPU,PrixTPU_Dist),0)+
IF(ISNUMBER(SEARCH(IF(Francais,"Sans Scanner (STD)","Without Scanner (STD)"),$B117)),(STD_GenCalib_Drivers_Instr_Techsup+PrixBlBgSTD)*(1-RebateHardware*0),0)+
IF(ISNUMBER(SEARCH(IF(Francais,"Sans Scanner (LA)","Without Scanner (LA)"),$B117)),(LA_GenCalib_Drivers_Instr_Techsup+PrixBlBgLA)*(1-RebateHardware*0),0),
"")</f>
        <v>5382</v>
      </c>
    </row>
    <row r="118" spans="1:3" x14ac:dyDescent="0.2">
      <c r="A118" s="423"/>
      <c r="B118" t="s">
        <v>878</v>
      </c>
      <c r="C118" s="417">
        <f>IF(AND(ShowStaticListPrice,Checkbox_WithScan),
N("PrixSoftware")+INDEX(C$108:C$110,MATCH(LEFT($B118,FIND(" ",$B118,FIND(" ",$B118)+1))&amp;"*",$B$108:$B$110,0))+
IF(ISNUMBER(SEARCH("STD4800",$B118)),IF(COLUMN(A$1)=1,PrixSTD+PrixBlBgSTD,PrixSTD_Dist+PrixBlBgSTD*(1-RebateHardware)),0)+
IF(ISNUMBER(SEARCH("LA2400",$B118)),IF(COLUMN(A$1)=1,PrixLA+PrixBlBgLA,PrixLA_Dist+PrixBlBgLA*(1-RebateHardware)),0)+
IF(ISNUMBER(SEARCH(IF(Francais,"et LS","and SLS"),$B118)),IF(COLUMN(A$1)=1,PrixTPU,PrixTPU_Dist),0)+
IF(ISNUMBER(SEARCH(IF(Francais,"Sans Scanner (STD)","Without Scanner (STD)"),$B118)),(STD_GenCalib_Drivers_Instr_Techsup+PrixBlBgSTD)*(1-RebateHardware*0),0)+
IF(ISNUMBER(SEARCH(IF(Francais,"Sans Scanner (LA)","Without Scanner (LA)"),$B118)),(LA_GenCalib_Drivers_Instr_Techsup+PrixBlBgLA)*(1-RebateHardware*0),0),
"")</f>
        <v>6153</v>
      </c>
    </row>
    <row r="119" spans="1:3" x14ac:dyDescent="0.2">
      <c r="A119" s="423"/>
      <c r="B119" t="s">
        <v>879</v>
      </c>
      <c r="C119" s="417">
        <f>IF(AND(ShowStaticListPrice,Checkbox_SansScanner),
N("PrixSoftware")+INDEX(C$108:C$110,MATCH(LEFT($B119,FIND(" ",$B119,FIND(" ",$B119)+1))&amp;"*",$B$108:$B$110,0))+
IF(ISNUMBER(SEARCH("STD4800",$B119)),IF(COLUMN(A$1)=1,PrixSTD+PrixBlBgSTD,PrixSTD_Dist+PrixBlBgSTD*(1-RebateHardware)),0)+
IF(ISNUMBER(SEARCH("LA2400",$B119)),IF(COLUMN(A$1)=1,PrixLA+PrixBlBgLA,PrixLA_Dist+PrixBlBgLA*(1-RebateHardware)),0)+
IF(ISNUMBER(SEARCH(IF(Francais,"et LS","and SLS"),$B119)),IF(COLUMN(A$1)=1,PrixTPU,PrixTPU_Dist),0)+
IF(ISNUMBER(SEARCH(IF(Francais,"Sans Scanner (STD)","Without Scanner (STD)"),$B119)),(STD_GenCalib_Drivers_Instr_Techsup+PrixBlBgSTD)*(1-RebateHardware*0),0)+
IF(ISNUMBER(SEARCH(IF(Francais,"Sans Scanner (LA)","Without Scanner (LA)"),$B119)),(LA_GenCalib_Drivers_Instr_Techsup+PrixBlBgLA)*(1-RebateHardware*0),0),
"")</f>
        <v>1468</v>
      </c>
    </row>
    <row r="120" spans="1:3" x14ac:dyDescent="0.2">
      <c r="A120" s="423"/>
      <c r="B120" t="s">
        <v>880</v>
      </c>
      <c r="C120" s="417">
        <f>IF(AND(ShowStaticListPrice,Checkbox_SansScanner),
N("PrixSoftware")+INDEX(C$108:C$110,MATCH(LEFT($B120,FIND(" ",$B120,FIND(" ",$B120)+1))&amp;"*",$B$108:$B$110,0))+
IF(ISNUMBER(SEARCH("STD4800",$B120)),IF(COLUMN(A$1)=1,PrixSTD+PrixBlBgSTD,PrixSTD_Dist+PrixBlBgSTD*(1-RebateHardware)),0)+
IF(ISNUMBER(SEARCH("LA2400",$B120)),IF(COLUMN(A$1)=1,PrixLA+PrixBlBgLA,PrixLA_Dist+PrixBlBgLA*(1-RebateHardware)),0)+
IF(ISNUMBER(SEARCH(IF(Francais,"et LS","and SLS"),$B120)),IF(COLUMN(A$1)=1,PrixTPU,PrixTPU_Dist),0)+
IF(ISNUMBER(SEARCH(IF(Francais,"Sans Scanner (STD)","Without Scanner (STD)"),$B120)),(STD_GenCalib_Drivers_Instr_Techsup+PrixBlBgSTD)*(1-RebateHardware*0),0)+
IF(ISNUMBER(SEARCH(IF(Francais,"Sans Scanner (LA)","Without Scanner (LA)"),$B120)),(LA_GenCalib_Drivers_Instr_Techsup+PrixBlBgLA)*(1-RebateHardware*0),0),
"")</f>
        <v>1490</v>
      </c>
    </row>
    <row r="121" spans="1:3" x14ac:dyDescent="0.2">
      <c r="A121" s="423"/>
      <c r="B121" t="s">
        <v>881</v>
      </c>
      <c r="C121" s="417">
        <f>IF(AND(ShowStaticListPrice,Checkbox_WithScan),
N("PrixSoftware")+INDEX(C$108:C$110,MATCH(LEFT($B121,FIND(" ",$B121,FIND(" ",$B121)+1))&amp;"*",$B$108:$B$110,0))+
IF(ISNUMBER(SEARCH("STD4800",$B121)),IF(COLUMN(A$1)=1,PrixSTD+PrixBlBgSTD,PrixSTD_Dist+PrixBlBgSTD*(1-RebateHardware)),0)+
IF(ISNUMBER(SEARCH("LA2400",$B121)),IF(COLUMN(A$1)=1,PrixLA+PrixBlBgLA,PrixLA_Dist+PrixBlBgLA*(1-RebateHardware)),0)+
IF(ISNUMBER(SEARCH(IF(Francais,"et LS","and SLS"),$B121)),IF(COLUMN(A$1)=1,PrixTPU,PrixTPU_Dist),0)+
IF(ISNUMBER(SEARCH(IF(Francais,"Sans Scanner (STD)","Without Scanner (STD)"),$B121)),(STD_GenCalib_Drivers_Instr_Techsup+PrixBlBgSTD)*(1-RebateHardware*0),0)+
IF(ISNUMBER(SEARCH(IF(Francais,"Sans Scanner (LA)","Without Scanner (LA)"),$B121)),(LA_GenCalib_Drivers_Instr_Techsup+PrixBlBgLA)*(1-RebateHardware*0),0),
"")</f>
        <v>2597</v>
      </c>
    </row>
    <row r="122" spans="1:3" x14ac:dyDescent="0.2">
      <c r="A122" s="423"/>
      <c r="B122" t="s">
        <v>882</v>
      </c>
      <c r="C122" s="417">
        <f>IF(AND(ShowStaticListPrice,Checkbox_WithScan),
N("PrixSoftware")+INDEX(C$108:C$110,MATCH(LEFT($B122,FIND(" ",$B122,FIND(" ",$B122)+1))&amp;"*",$B$108:$B$110,0))+
IF(ISNUMBER(SEARCH("STD4800",$B122)),IF(COLUMN(A$1)=1,PrixSTD+PrixBlBgSTD,PrixSTD_Dist+PrixBlBgSTD*(1-RebateHardware)),0)+
IF(ISNUMBER(SEARCH("LA2400",$B122)),IF(COLUMN(A$1)=1,PrixLA+PrixBlBgLA,PrixLA_Dist+PrixBlBgLA*(1-RebateHardware)),0)+
IF(ISNUMBER(SEARCH(IF(Francais,"et LS","and SLS"),$B122)),IF(COLUMN(A$1)=1,PrixTPU,PrixTPU_Dist),0)+
IF(ISNUMBER(SEARCH(IF(Francais,"Sans Scanner (STD)","Without Scanner (STD)"),$B122)),(STD_GenCalib_Drivers_Instr_Techsup+PrixBlBgSTD)*(1-RebateHardware*0),0)+
IF(ISNUMBER(SEARCH(IF(Francais,"Sans Scanner (LA)","Without Scanner (LA)"),$B122)),(LA_GenCalib_Drivers_Instr_Techsup+PrixBlBgLA)*(1-RebateHardware*0),0),
"")</f>
        <v>5382</v>
      </c>
    </row>
    <row r="123" spans="1:3" x14ac:dyDescent="0.2">
      <c r="A123" s="423"/>
      <c r="B123" t="s">
        <v>883</v>
      </c>
      <c r="C123" s="417">
        <f>IF(AND(ShowStaticListPrice,Checkbox_WithScan),
N("PrixSoftware")+INDEX(C$108:C$110,MATCH(LEFT($B123,FIND(" ",$B123,FIND(" ",$B123)+1))&amp;"*",$B$108:$B$110,0))+
IF(ISNUMBER(SEARCH("STD4800",$B123)),IF(COLUMN(A$1)=1,PrixSTD+PrixBlBgSTD,PrixSTD_Dist+PrixBlBgSTD*(1-RebateHardware)),0)+
IF(ISNUMBER(SEARCH("LA2400",$B123)),IF(COLUMN(A$1)=1,PrixLA+PrixBlBgLA,PrixLA_Dist+PrixBlBgLA*(1-RebateHardware)),0)+
IF(ISNUMBER(SEARCH(IF(Francais,"et LS","and SLS"),$B123)),IF(COLUMN(A$1)=1,PrixTPU,PrixTPU_Dist),0)+
IF(ISNUMBER(SEARCH(IF(Francais,"Sans Scanner (STD)","Without Scanner (STD)"),$B123)),(STD_GenCalib_Drivers_Instr_Techsup+PrixBlBgSTD)*(1-RebateHardware*0),0)+
IF(ISNUMBER(SEARCH(IF(Francais,"Sans Scanner (LA)","Without Scanner (LA)"),$B123)),(LA_GenCalib_Drivers_Instr_Techsup+PrixBlBgLA)*(1-RebateHardware*0),0),
"")</f>
        <v>6153</v>
      </c>
    </row>
    <row r="124" spans="1:3" x14ac:dyDescent="0.2">
      <c r="A124" s="423"/>
      <c r="B124" t="s">
        <v>884</v>
      </c>
      <c r="C124" s="417">
        <f>IF(AND(ShowStaticListPrice,Checkbox_SansScanner),
N("PrixSoftware")+INDEX(C$108:C$110,MATCH(LEFT($B124,FIND(" ",$B124,FIND(" ",$B124)+1))&amp;"*",$B$108:$B$110,0))+
IF(ISNUMBER(SEARCH("STD4800",$B124)),IF(COLUMN(A$1)=1,PrixSTD+PrixBlBgSTD,PrixSTD_Dist+PrixBlBgSTD*(1-RebateHardware)),0)+
IF(ISNUMBER(SEARCH("LA2400",$B124)),IF(COLUMN(A$1)=1,PrixLA+PrixBlBgLA,PrixLA_Dist+PrixBlBgLA*(1-RebateHardware)),0)+
IF(ISNUMBER(SEARCH(IF(Francais,"et LS","and SLS"),$B124)),IF(COLUMN(A$1)=1,PrixTPU,PrixTPU_Dist),0)+
IF(ISNUMBER(SEARCH(IF(Francais,"Sans Scanner (STD)","Without Scanner (STD)"),$B124)),(STD_GenCalib_Drivers_Instr_Techsup+PrixBlBgSTD)*(1-RebateHardware*0),0)+
IF(ISNUMBER(SEARCH(IF(Francais,"Sans Scanner (LA)","Without Scanner (LA)"),$B124)),(LA_GenCalib_Drivers_Instr_Techsup+PrixBlBgLA)*(1-RebateHardware*0),0),
"")</f>
        <v>1468</v>
      </c>
    </row>
    <row r="125" spans="1:3" x14ac:dyDescent="0.2">
      <c r="A125" s="423"/>
      <c r="B125" t="s">
        <v>885</v>
      </c>
      <c r="C125" s="417">
        <f>IF(AND(ShowStaticListPrice,Checkbox_SansScanner),
N("PrixSoftware")+INDEX(C$108:C$110,MATCH(LEFT($B125,FIND(" ",$B125,FIND(" ",$B125)+1))&amp;"*",$B$108:$B$110,0))+
IF(ISNUMBER(SEARCH("STD4800",$B125)),IF(COLUMN(A$1)=1,PrixSTD+PrixBlBgSTD,PrixSTD_Dist+PrixBlBgSTD*(1-RebateHardware)),0)+
IF(ISNUMBER(SEARCH("LA2400",$B125)),IF(COLUMN(A$1)=1,PrixLA+PrixBlBgLA,PrixLA_Dist+PrixBlBgLA*(1-RebateHardware)),0)+
IF(ISNUMBER(SEARCH(IF(Francais,"et LS","and SLS"),$B125)),IF(COLUMN(A$1)=1,PrixTPU,PrixTPU_Dist),0)+
IF(ISNUMBER(SEARCH(IF(Francais,"Sans Scanner (STD)","Without Scanner (STD)"),$B125)),(STD_GenCalib_Drivers_Instr_Techsup+PrixBlBgSTD)*(1-RebateHardware*0),0)+
IF(ISNUMBER(SEARCH(IF(Francais,"Sans Scanner (LA)","Without Scanner (LA)"),$B125)),(LA_GenCalib_Drivers_Instr_Techsup+PrixBlBgLA)*(1-RebateHardware*0),0),
"")</f>
        <v>1490</v>
      </c>
    </row>
    <row r="126" spans="1:3" x14ac:dyDescent="0.2">
      <c r="A126" s="423"/>
      <c r="B126" t="s">
        <v>886</v>
      </c>
      <c r="C126" s="417">
        <f>IF(AND(ShowStaticListPrice,Checkbox_WithScan),
N("PrixSoftware")+INDEX(CAM_SoftwarePriceList,MATCH(LEFT($B126,FIND(" ",$B126,FIND(" ",$B126)+6))&amp;"*",{"WinCAM™ NDVI Basic 32&amp;64bit";"WinCAM™ NDVI Reg 32&amp;64bit";"WinCAM™ NDVI Pro 32&amp;64bit"},0))
+PrixLC+PrixBlBgLC,
"")</f>
        <v>1515</v>
      </c>
    </row>
    <row r="127" spans="1:3" x14ac:dyDescent="0.2">
      <c r="A127" s="423"/>
      <c r="B127" t="s">
        <v>887</v>
      </c>
      <c r="C127" s="417">
        <f>IF(AND(ShowStaticListPrice,Checkbox_WithScan),
N("PrixSoftware")+INDEX(CAM_SoftwarePriceList,MATCH(LEFT($B127,FIND(" ",$B127,FIND(" ",$B127)+6))&amp;"*",{"WinCAM™ NDVI Basic 32&amp;64bit";"WinCAM™ NDVI Reg 32&amp;64bit";"WinCAM™ NDVI Pro 32&amp;64bit"},0))
+PrixLC+PrixBlBgLC,
"")</f>
        <v>1960</v>
      </c>
    </row>
    <row r="128" spans="1:3" x14ac:dyDescent="0.2">
      <c r="A128" s="423"/>
      <c r="B128" t="s">
        <v>888</v>
      </c>
      <c r="C128" s="417">
        <f>IF(AND(ShowStaticListPrice,Checkbox_WithScan),
N("PrixSoftware")+INDEX(CAM_SoftwarePriceList,MATCH(LEFT($B128,FIND(" ",$B128,FIND(" ",$B128)+6))&amp;"*",{"WinCAM™ NDVI Basic 32&amp;64bit";"WinCAM™ NDVI Reg 32&amp;64bit";"WinCAM™ NDVI Pro 32&amp;64bit"},0))
+PrixLC+PrixBlBgLC,
"")</f>
        <v>2847</v>
      </c>
    </row>
    <row r="129" spans="1:3" x14ac:dyDescent="0.2">
      <c r="A129" s="423"/>
      <c r="B129" t="s">
        <v>889</v>
      </c>
      <c r="C129" s="417">
        <f>IF(AND(ShowStaticListPrice,Checkbox_SansScanner),
N("PrixSoftware")+INDEX(CAM_SoftwarePriceList,MATCH(LEFT($B129,FIND(" ",$B129,FIND(" ",$B129)+6))&amp;"*",{"WinCAM™ NDVI Basic 32&amp;64bit";"WinCAM™ NDVI Reg 32&amp;64bit";"WinCAM™ NDVI Pro 32&amp;64bit"},0))
+LC_GenCalib_Drivers_Instr_Techsup+PrixBlBgLC,
"")</f>
        <v>1413</v>
      </c>
    </row>
    <row r="130" spans="1:3" x14ac:dyDescent="0.2">
      <c r="A130" s="423"/>
      <c r="B130" t="s">
        <v>890</v>
      </c>
      <c r="C130" s="417">
        <f>IF(AND(ShowStaticListPrice,Checkbox_SansScanner),
N("PrixSoftware")+INDEX(CAM_SoftwarePriceList,MATCH(LEFT($B130,FIND(" ",$B130,FIND(" ",$B130)+6))&amp;"*",{"WinCAM™ NDVI Basic 32&amp;64bit";"WinCAM™ NDVI Reg 32&amp;64bit";"WinCAM™ NDVI Pro 32&amp;64bit"},0))
+LC_GenCalib_Drivers_Instr_Techsup+PrixBlBgLC,
"")</f>
        <v>1858</v>
      </c>
    </row>
    <row r="131" spans="1:3" x14ac:dyDescent="0.2">
      <c r="A131" s="423"/>
      <c r="B131" t="s">
        <v>891</v>
      </c>
      <c r="C131" s="417">
        <f>IF(AND(ShowStaticListPrice,Checkbox_SansScanner),
N("PrixSoftware")+INDEX(CAM_SoftwarePriceList,MATCH(LEFT($B131,FIND(" ",$B131,FIND(" ",$B131)+6))&amp;"*",{"WinCAM™ NDVI Basic 32&amp;64bit";"WinCAM™ NDVI Reg 32&amp;64bit";"WinCAM™ NDVI Pro 32&amp;64bit"},0))
+LC_GenCalib_Drivers_Instr_Techsup+PrixBlBgLC,
"")</f>
        <v>2745</v>
      </c>
    </row>
    <row r="132" spans="1:3" x14ac:dyDescent="0.2">
      <c r="A132" s="423"/>
      <c r="B132" s="45" t="s">
        <v>892</v>
      </c>
      <c r="C132" s="417"/>
    </row>
    <row r="133" spans="1:3" x14ac:dyDescent="0.2">
      <c r="A133" s="234"/>
      <c r="B133" t="s">
        <v>893</v>
      </c>
      <c r="C133" s="417">
        <f>IF(ShowStaticListPrice,Calc!$A$31,"")</f>
        <v>231</v>
      </c>
    </row>
    <row r="134" spans="1:3" x14ac:dyDescent="0.2">
      <c r="A134" s="423"/>
      <c r="B134" t="s">
        <v>894</v>
      </c>
      <c r="C134" s="417">
        <f>IF(ShowStaticListPrice,Calc!$A$32,"")</f>
        <v>428</v>
      </c>
    </row>
    <row r="135" spans="1:3" x14ac:dyDescent="0.2">
      <c r="A135" s="234"/>
      <c r="B135" t="s">
        <v>895</v>
      </c>
      <c r="C135" s="417">
        <f>IF(ShowStaticListPrice,Calc!$A$13,"")</f>
        <v>26</v>
      </c>
    </row>
    <row r="136" spans="1:3" x14ac:dyDescent="0.2">
      <c r="A136" s="423"/>
      <c r="B136" t="s">
        <v>896</v>
      </c>
      <c r="C136" s="417">
        <f>IF(ShowStaticListPrice,Calc!$A$14,"")</f>
        <v>48</v>
      </c>
    </row>
    <row r="137" spans="1:3" x14ac:dyDescent="0.2">
      <c r="A137" s="234"/>
      <c r="B137" t="s">
        <v>897</v>
      </c>
      <c r="C137" s="417">
        <f>IF(ShowStaticListPrice,Calc!$A$12,"")</f>
        <v>26</v>
      </c>
    </row>
    <row r="138" spans="1:3" x14ac:dyDescent="0.2">
      <c r="A138" s="263"/>
      <c r="B138" s="263"/>
      <c r="C138" s="424"/>
    </row>
    <row r="139" spans="1:3" x14ac:dyDescent="0.2">
      <c r="A139" s="263"/>
      <c r="B139" t="s">
        <v>216</v>
      </c>
      <c r="C139" s="417">
        <f>IF(ShowStaticListPrice,Calc!A70,"")</f>
        <v>1369</v>
      </c>
    </row>
    <row r="140" spans="1:3" x14ac:dyDescent="0.2">
      <c r="A140" s="263"/>
      <c r="B140" t="s">
        <v>217</v>
      </c>
      <c r="C140" s="417">
        <f>IF(ShowStaticListPrice,Calc!A71,"")</f>
        <v>2219</v>
      </c>
    </row>
    <row r="141" spans="1:3" x14ac:dyDescent="0.2">
      <c r="A141" s="263"/>
      <c r="B141" t="s">
        <v>218</v>
      </c>
      <c r="C141" s="417">
        <f>IF(ShowStaticListPrice,Calc!A72,"")</f>
        <v>3640</v>
      </c>
    </row>
    <row r="142" spans="1:3" x14ac:dyDescent="0.2">
      <c r="A142" s="263"/>
      <c r="B142" t="s">
        <v>898</v>
      </c>
      <c r="C142" s="417">
        <f>IF(ShowStaticListPrice,PrixSLR24+C140,"")</f>
        <v>6423</v>
      </c>
    </row>
    <row r="143" spans="1:3" x14ac:dyDescent="0.2">
      <c r="A143" s="263"/>
      <c r="B143" t="s">
        <v>899</v>
      </c>
      <c r="C143" s="417">
        <f>IF(ShowStaticListPrice,PrixSLR24+C141,"")</f>
        <v>7844</v>
      </c>
    </row>
    <row r="144" spans="1:3" x14ac:dyDescent="0.2">
      <c r="A144" s="263"/>
      <c r="B144" t="s">
        <v>900</v>
      </c>
      <c r="C144" s="417">
        <f>IF(ShowStaticListPrice,PrixGP27SansCaseSansMount+C139,"")</f>
        <v>2825</v>
      </c>
    </row>
    <row r="145" spans="1:3" x14ac:dyDescent="0.2">
      <c r="A145" s="263"/>
      <c r="B145" t="s">
        <v>901</v>
      </c>
      <c r="C145" s="417">
        <f>IF(ShowStaticListPrice,PrixSLR24SansCaseSansMount+C140,"")</f>
        <v>4677</v>
      </c>
    </row>
    <row r="146" spans="1:3" x14ac:dyDescent="0.2">
      <c r="A146" s="263"/>
      <c r="B146" t="s">
        <v>902</v>
      </c>
      <c r="C146" s="417">
        <f>IF(ShowStaticListPrice,PrixSLR24SansCaseSansMount+C141,"")</f>
        <v>6098</v>
      </c>
    </row>
    <row r="147" spans="1:3" x14ac:dyDescent="0.2">
      <c r="A147" s="263"/>
      <c r="B147" t="s">
        <v>903</v>
      </c>
      <c r="C147" s="417">
        <f>IF(ShowStaticListPrice,PrixBig_Tripod,"")</f>
        <v>925</v>
      </c>
    </row>
  </sheetData>
  <sheetProtection algorithmName="SHA-512" hashValue="1LXcDrlDkZhj1VElpgdAkVE4X3tuE31bcKY+auMEryJXQerDM535XIQUWC5YazZOjA1M6xeS+ap2Q3ygQEtJqA==" saltValue="fTfO1B4mkT5xcLz405ZUlw==" spinCount="100000" sheet="1" objects="1" scenarios="1" selectLockedCells="1"/>
  <mergeCells count="1">
    <mergeCell ref="D44:D4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BoxStaticListPrice">
              <controlPr defaultSize="0" autoFill="0" autoLine="0" autoPict="0">
                <anchor moveWithCells="1" sizeWithCells="1">
                  <from>
                    <xdr:col>2</xdr:col>
                    <xdr:colOff>152400</xdr:colOff>
                    <xdr:row>2</xdr:row>
                    <xdr:rowOff>0</xdr:rowOff>
                  </from>
                  <to>
                    <xdr:col>3</xdr:col>
                    <xdr:colOff>0</xdr:colOff>
                    <xdr:row>3</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pageSetUpPr fitToPage="1"/>
  </sheetPr>
  <dimension ref="A1:J125"/>
  <sheetViews>
    <sheetView zoomScaleNormal="100" workbookViewId="0"/>
  </sheetViews>
  <sheetFormatPr baseColWidth="10" defaultColWidth="0" defaultRowHeight="16" x14ac:dyDescent="0.2"/>
  <cols>
    <col min="1" max="1" width="2.6640625" customWidth="1"/>
    <col min="2" max="2" width="70.33203125" bestFit="1" customWidth="1"/>
    <col min="3" max="3" width="13.5" bestFit="1" customWidth="1"/>
    <col min="4" max="4" width="54.33203125" customWidth="1"/>
    <col min="5" max="6" width="9" customWidth="1"/>
    <col min="7" max="7" width="9" hidden="1" customWidth="1"/>
    <col min="8" max="8" width="10.1640625" hidden="1" customWidth="1"/>
    <col min="9" max="9" width="9" hidden="1"/>
    <col min="10" max="10" width="10.1640625" hidden="1"/>
    <col min="11" max="16384" width="9" hidden="1"/>
  </cols>
  <sheetData>
    <row r="1" spans="1:8" ht="15.5" customHeight="1" x14ac:dyDescent="0.2">
      <c r="B1" s="45" t="s">
        <v>791</v>
      </c>
      <c r="C1" s="17" t="str">
        <f>IF(ShowStaticListPrice,IF(Francais,"Prix Liste (","List Price (") &amp; "€" &amp; ")","")</f>
        <v>List Price (€)</v>
      </c>
      <c r="D1" s="416"/>
    </row>
    <row r="2" spans="1:8" ht="15.5" customHeight="1" x14ac:dyDescent="0.2">
      <c r="B2" t="s">
        <v>792</v>
      </c>
      <c r="C2" s="17"/>
      <c r="D2" s="416"/>
    </row>
    <row r="3" spans="1:8" ht="15.5" customHeight="1" x14ac:dyDescent="0.2">
      <c r="A3" s="152"/>
      <c r="B3" s="152"/>
      <c r="C3" s="152"/>
    </row>
    <row r="4" spans="1:8" ht="15.5" customHeight="1" x14ac:dyDescent="0.2">
      <c r="A4" s="152"/>
      <c r="B4" t="s">
        <v>793</v>
      </c>
      <c r="C4" s="417">
        <f>IF(AND(ShowStaticListPrice,Checkbox_WithScan),
N("PrixSoftware")+INDEX(Calc!A$48:A$50,MATCH(LEFT($B4,FIND(" ",$B4,FIND(" ",$B4)+1))&amp;"*",{"WinDENDRO™ Basic 32&amp;64bit";"WinDENDRO™ Reg 32&amp;64bit";"WinDENDRO™ Density 32&amp;64bit"},0))+
IF(ISNUMBER(SEARCH("STD4800",$B4)),IF(COLUMN(A$1)=1,PrixSTD,PrixSTD_Dist),0)+
IF(ISNUMBER(SEARCH("LA2400",$B4)),IF(COLUMN(A$1)=1,PrixLA,PrixLA_Dist),0)+
IF(ISNUMBER(SEARCH(IF(Francais,"et LS","and SLS"),$B4)),IF(COLUMN(A$1)=1,PrixTPU,PrixTPU_Dist),0)+
IF(ISNUMBER(SEARCH(IF(Francais,"sans Scanner","Without Scanner"),$B4)),STD_GenCalib_Drivers_Instr_Techsup*(1-RebateHardware*0),0),
"")</f>
        <v>2616</v>
      </c>
      <c r="D4" s="437"/>
    </row>
    <row r="5" spans="1:8" ht="15.5" customHeight="1" x14ac:dyDescent="0.2">
      <c r="A5" s="152"/>
      <c r="B5" t="s">
        <v>794</v>
      </c>
      <c r="C5" s="417">
        <f>IF(AND(ShowStaticListPrice,Checkbox_WithScan),
N("PrixSoftware")+INDEX(Calc!A$48:A$50,MATCH(LEFT($B5,FIND(" ",$B5,FIND(" ",$B5)+1))&amp;"*",{"WinDENDRO™ Basic 32&amp;64bit";"WinDENDRO™ Reg 32&amp;64bit";"WinDENDRO™ Density 32&amp;64bit"},0))+
IF(ISNUMBER(SEARCH("STD4800",$B5)),IF(COLUMN(A$1)=1,PrixSTD,PrixSTD_Dist),0)+
IF(ISNUMBER(SEARCH("LA2400",$B5)),IF(COLUMN(A$1)=1,PrixLA,PrixLA_Dist),0)+
IF(ISNUMBER(SEARCH(IF(Francais,"et LS","and SLS"),$B5)),IF(COLUMN(A$1)=1,PrixTPU,PrixTPU_Dist),0)+
IF(ISNUMBER(SEARCH(IF(Francais,"sans Scanner","Without Scanner"),$B5)),STD_GenCalib_Drivers_Instr_Techsup*(1-RebateHardware*0),0),
"")</f>
        <v>5379</v>
      </c>
      <c r="D5" s="437"/>
    </row>
    <row r="6" spans="1:8" ht="15.5" customHeight="1" x14ac:dyDescent="0.2">
      <c r="A6" s="152"/>
      <c r="B6" t="s">
        <v>795</v>
      </c>
      <c r="C6" s="417">
        <f>IF(AND(ShowStaticListPrice,Checkbox_WithScan),
N("PrixSoftware")+INDEX(Calc!A$48:A$50,MATCH(LEFT($B6,FIND(" ",$B6,FIND(" ",$B6)+1))&amp;"*",{"WinDENDRO™ Basic 32&amp;64bit";"WinDENDRO™ Reg 32&amp;64bit";"WinDENDRO™ Density 32&amp;64bit"},0))+
IF(ISNUMBER(SEARCH("STD4800",$B6)),IF(COLUMN(A$1)=1,PrixSTD,PrixSTD_Dist),0)+
IF(ISNUMBER(SEARCH("LA2400",$B6)),IF(COLUMN(A$1)=1,PrixLA,PrixLA_Dist),0)+
IF(ISNUMBER(SEARCH(IF(Francais,"et LS","and SLS"),$B6)),IF(COLUMN(A$1)=1,PrixTPU,PrixTPU_Dist),0)+
IF(ISNUMBER(SEARCH(IF(Francais,"sans Scanner","Without Scanner"),$B6)),STD_GenCalib_Drivers_Instr_Techsup*(1-RebateHardware*0),0),
"")</f>
        <v>6150</v>
      </c>
      <c r="D6" s="437"/>
    </row>
    <row r="7" spans="1:8" ht="15.5" customHeight="1" x14ac:dyDescent="0.2">
      <c r="A7" s="152"/>
      <c r="B7" t="s">
        <v>796</v>
      </c>
      <c r="C7" s="417">
        <f>IF(AND(ShowStaticListPrice,Checkbox_SansScanner),
N("PrixSoftware")+INDEX(Calc!A$48:A$50,MATCH(LEFT($B7,FIND(" ",$B7,FIND(" ",$B7)+1))&amp;"*",{"WinDENDRO™ Basic 32&amp;64bit";"WinDENDRO™ Reg 32&amp;64bit";"WinDENDRO™ Density 32&amp;64bit"},0))+
IF(ISNUMBER(SEARCH("STD4800",$B7)),IF(COLUMN(A$1)=1,PrixSTD,PrixSTD_Dist),0)+
IF(ISNUMBER(SEARCH("LA2400",$B7)),IF(COLUMN(A$1)=1,PrixLA,PrixLA_Dist),0)+
IF(ISNUMBER(SEARCH(IF(Francais,"et LS","and SLS"),$B7)),IF(COLUMN(A$1)=1,PrixTPU,PrixTPU_Dist),0)+
IF(ISNUMBER(SEARCH(IF(Francais,"sans Scanner","Without Scanner"),$B7)),STD_GenCalib_Drivers_Instr_Techsup*(1-RebateHardware*0),0),
"")</f>
        <v>1487</v>
      </c>
      <c r="D7" s="437"/>
    </row>
    <row r="8" spans="1:8" ht="15.5" customHeight="1" x14ac:dyDescent="0.2">
      <c r="A8" s="152"/>
      <c r="B8" t="s">
        <v>797</v>
      </c>
      <c r="C8" s="417">
        <f>IF(AND(ShowStaticListPrice,Checkbox_WithScan),
N("PrixSoftware")+INDEX(Calc!A$48:A$50,MATCH(LEFT($B8,FIND(" ",$B8,FIND(" ",$B8)+1))&amp;"*",{"WinDENDRO™ Basic 32&amp;64bit";"WinDENDRO™ Reg 32&amp;64bit";"WinDENDRO™ Density 32&amp;64bit"},0))+
IF(ISNUMBER(SEARCH("STD4800",$B8)),IF(COLUMN(A$1)=1,PrixSTD,PrixSTD_Dist),0)+
IF(ISNUMBER(SEARCH("LA2400",$B8)),IF(COLUMN(A$1)=1,PrixLA,PrixLA_Dist),0)+
IF(ISNUMBER(SEARCH(IF(Francais,"et LS","and SLS"),$B8)),IF(COLUMN(A$1)=1,PrixTPU,PrixTPU_Dist),0)+
IF(ISNUMBER(SEARCH(IF(Francais,"sans Scanner","Without Scanner"),$B8)),STD_GenCalib_Drivers_Instr_Techsup*(1-RebateHardware*0),0),
"")</f>
        <v>5569</v>
      </c>
      <c r="D8" s="812"/>
    </row>
    <row r="9" spans="1:8" ht="15.5" customHeight="1" x14ac:dyDescent="0.2">
      <c r="A9" s="152"/>
      <c r="B9" t="s">
        <v>798</v>
      </c>
      <c r="C9" s="417">
        <f>IF(AND(ShowStaticListPrice,Checkbox_WithScan),
N("PrixSoftware")+INDEX(Calc!A$48:A$50,MATCH(LEFT($B9,FIND(" ",$B9,FIND(" ",$B9)+1))&amp;"*",{"WinDENDRO™ Basic 32&amp;64bit";"WinDENDRO™ Reg 32&amp;64bit";"WinDENDRO™ Density 32&amp;64bit"},0))+
IF(ISNUMBER(SEARCH("STD4800",$B9)),IF(COLUMN(A$1)=1,PrixSTD,PrixSTD_Dist),0)+
IF(ISNUMBER(SEARCH("LA2400",$B9)),IF(COLUMN(A$1)=1,PrixLA,PrixLA_Dist),0)+
IF(ISNUMBER(SEARCH(IF(Francais,"et LS","and SLS"),$B9)),IF(COLUMN(A$1)=1,PrixTPU,PrixTPU_Dist),0)+
IF(ISNUMBER(SEARCH(IF(Francais,"sans Scanner","Without Scanner"),$B9)),STD_GenCalib_Drivers_Instr_Techsup*(1-RebateHardware*0),0),
"")</f>
        <v>8332</v>
      </c>
      <c r="D9" s="812"/>
    </row>
    <row r="10" spans="1:8" ht="15.5" customHeight="1" x14ac:dyDescent="0.2">
      <c r="A10" s="152"/>
      <c r="B10" t="s">
        <v>799</v>
      </c>
      <c r="C10" s="417">
        <f>IF(AND(ShowStaticListPrice,Checkbox_WithScan),
N("PrixSoftware")+INDEX(Calc!A$48:A$50,MATCH(LEFT($B10,FIND(" ",$B10,FIND(" ",$B10)+1))&amp;"*",{"WinDENDRO™ Basic 32&amp;64bit";"WinDENDRO™ Reg 32&amp;64bit";"WinDENDRO™ Density 32&amp;64bit"},0))+
IF(ISNUMBER(SEARCH("STD4800",$B10)),IF(COLUMN(A$1)=1,PrixSTD,PrixSTD_Dist),0)+
IF(ISNUMBER(SEARCH("LA2400",$B10)),IF(COLUMN(A$1)=1,PrixLA,PrixLA_Dist),0)+
IF(ISNUMBER(SEARCH(IF(Francais,"et LS","and SLS"),$B10)),IF(COLUMN(A$1)=1,PrixTPU,PrixTPU_Dist),0)+
IF(ISNUMBER(SEARCH(IF(Francais,"sans Scanner","Without Scanner"),$B10)),STD_GenCalib_Drivers_Instr_Techsup*(1-RebateHardware*0),0),
"")</f>
        <v>9103</v>
      </c>
    </row>
    <row r="11" spans="1:8" ht="15.5" customHeight="1" x14ac:dyDescent="0.2">
      <c r="A11" s="152"/>
      <c r="B11" t="s">
        <v>800</v>
      </c>
      <c r="C11" s="417">
        <f>IF(AND(ShowStaticListPrice,Checkbox_SansScanner),
N("PrixSoftware")+INDEX(Calc!A$48:A$50,MATCH(LEFT($B11,FIND(" ",$B11,FIND(" ",$B11)+1))&amp;"*",{"WinDENDRO™ Basic 32&amp;64bit";"WinDENDRO™ Reg 32&amp;64bit";"WinDENDRO™ Density 32&amp;64bit"},0))+
IF(ISNUMBER(SEARCH("STD4800",$B11)),IF(COLUMN(A$1)=1,PrixSTD,PrixSTD_Dist),0)+
IF(ISNUMBER(SEARCH("LA2400",$B11)),IF(COLUMN(A$1)=1,PrixLA,PrixLA_Dist),0)+
IF(ISNUMBER(SEARCH(IF(Francais,"et LS","and SLS"),$B11)),IF(COLUMN(A$1)=1,PrixTPU,PrixTPU_Dist),0)+
IF(ISNUMBER(SEARCH(IF(Francais,"sans Scanner","Without Scanner"),$B11)),STD_GenCalib_Drivers_Instr_Techsup*(1-RebateHardware*0),0),
"")</f>
        <v>4440</v>
      </c>
      <c r="D11" s="437"/>
    </row>
    <row r="12" spans="1:8" ht="15.5" customHeight="1" x14ac:dyDescent="0.2">
      <c r="A12" s="152"/>
      <c r="B12" t="s">
        <v>801</v>
      </c>
      <c r="C12" s="417">
        <f>IF(AND(ShowStaticListPrice,Checkbox_WithScan),
N("PrixSoftware")+INDEX(Calc!A$48:A$50,MATCH(LEFT($B12,FIND(" ",$B12,FIND(" ",$B12)+1))&amp;"*",{"WinDENDRO™ Basic 32&amp;64bit";"WinDENDRO™ Reg 32&amp;64bit";"WinDENDRO™ Density 32&amp;64bit"},0))+
IF(ISNUMBER(SEARCH("STD4800",$B12)),IF(COLUMN(A$1)=1,PrixSTD,PrixSTD_Dist),0)+
IF(ISNUMBER(SEARCH("LA2400",$B12)),IF(COLUMN(A$1)=1,PrixLA,PrixLA_Dist),0)+
IF(ISNUMBER(SEARCH(IF(Francais,"et LS","and SLS"),$B12)),IF(COLUMN(A$1)=1,PrixTPU,PrixTPU_Dist),0)+
IF(ISNUMBER(SEARCH(IF(Francais,"sans Scanner","Without Scanner"),$B12)),STD_GenCalib_Drivers_Instr_Techsup*(1-RebateHardware*0),0),
"")</f>
        <v>8529</v>
      </c>
      <c r="D12" s="437"/>
    </row>
    <row r="13" spans="1:8" ht="15.5" customHeight="1" x14ac:dyDescent="0.2">
      <c r="A13" s="152"/>
      <c r="B13" t="s">
        <v>802</v>
      </c>
      <c r="C13" s="417">
        <f>IF(AND(ShowStaticListPrice,Checkbox_WithScan),
N("PrixSoftware")+INDEX(Calc!A$48:A$50,MATCH(LEFT($B13,FIND(" ",$B13,FIND(" ",$B13)+1))&amp;"*",{"WinDENDRO™ Basic 32&amp;64bit";"WinDENDRO™ Reg 32&amp;64bit";"WinDENDRO™ Density 32&amp;64bit"},0))+
IF(ISNUMBER(SEARCH("STD4800",$B13)),IF(COLUMN(A$1)=1,PrixSTD,PrixSTD_Dist),0)+
IF(ISNUMBER(SEARCH("LA2400",$B13)),IF(COLUMN(A$1)=1,PrixLA,PrixLA_Dist),0)+
IF(ISNUMBER(SEARCH(IF(Francais,"et LS","and SLS"),$B13)),IF(COLUMN(A$1)=1,PrixTPU,PrixTPU_Dist),0)+
IF(ISNUMBER(SEARCH(IF(Francais,"sans Scanner","Without Scanner"),$B13)),STD_GenCalib_Drivers_Instr_Techsup*(1-RebateHardware*0),0),
"")</f>
        <v>11292</v>
      </c>
      <c r="D13" s="437"/>
    </row>
    <row r="14" spans="1:8" ht="15.5" customHeight="1" x14ac:dyDescent="0.2">
      <c r="A14" s="152"/>
      <c r="B14" t="s">
        <v>803</v>
      </c>
      <c r="C14" s="417">
        <f>IF(AND(ShowStaticListPrice,Checkbox_WithScan),
N("PrixSoftware")+INDEX(Calc!A$48:A$50,MATCH(LEFT($B14,FIND(" ",$B14,FIND(" ",$B14)+1))&amp;"*",{"WinDENDRO™ Basic 32&amp;64bit";"WinDENDRO™ Reg 32&amp;64bit";"WinDENDRO™ Density 32&amp;64bit"},0))+
IF(ISNUMBER(SEARCH("STD4800",$B14)),IF(COLUMN(A$1)=1,PrixSTD,PrixSTD_Dist),0)+
IF(ISNUMBER(SEARCH("LA2400",$B14)),IF(COLUMN(A$1)=1,PrixLA,PrixLA_Dist),0)+
IF(ISNUMBER(SEARCH(IF(Francais,"et LS","and SLS"),$B14)),IF(COLUMN(A$1)=1,PrixTPU,PrixTPU_Dist),0)+
IF(ISNUMBER(SEARCH(IF(Francais,"sans Scanner","Without Scanner"),$B14)),STD_GenCalib_Drivers_Instr_Techsup*(1-RebateHardware*0),0),
"")</f>
        <v>12063</v>
      </c>
      <c r="D14" s="437"/>
    </row>
    <row r="15" spans="1:8" ht="15.5" customHeight="1" x14ac:dyDescent="0.2">
      <c r="A15" s="152"/>
      <c r="B15" t="s">
        <v>804</v>
      </c>
      <c r="C15" s="417">
        <f>IF(AND(ShowStaticListPrice,Checkbox_SansScanner),
N("PrixSoftware")+INDEX(Calc!A$48:A$50,MATCH(LEFT($B15,FIND(" ",$B15,FIND(" ",$B15)+1))&amp;"*",{"WinDENDRO™ Basic 32&amp;64bit";"WinDENDRO™ Reg 32&amp;64bit";"WinDENDRO™ Density 32&amp;64bit"},0))+
IF(ISNUMBER(SEARCH("STD4800",$B15)),IF(COLUMN(A$1)=1,PrixSTD,PrixSTD_Dist),0)+
IF(ISNUMBER(SEARCH("LA2400",$B15)),IF(COLUMN(A$1)=1,PrixLA,PrixLA_Dist),0)+
IF(ISNUMBER(SEARCH(IF(Francais,"et LS","and SLS"),$B15)),IF(COLUMN(A$1)=1,PrixTPU,PrixTPU_Dist),0)+
IF(ISNUMBER(SEARCH(IF(Francais,"sans Scanner","Without Scanner"),$B15)),STD_GenCalib_Drivers_Instr_Techsup*(1-RebateHardware*0),0),
"")</f>
        <v>7400</v>
      </c>
      <c r="D15" s="437"/>
    </row>
    <row r="16" spans="1:8" ht="15.5" customHeight="1" x14ac:dyDescent="0.2">
      <c r="A16" s="152"/>
      <c r="B16" s="45" t="s">
        <v>805</v>
      </c>
      <c r="C16" s="417"/>
      <c r="D16" s="437"/>
      <c r="H16" s="442"/>
    </row>
    <row r="17" spans="1:8" ht="15.5" customHeight="1" x14ac:dyDescent="0.2">
      <c r="A17" s="152"/>
      <c r="B17" t="s">
        <v>94</v>
      </c>
      <c r="C17" s="417">
        <f>IF(ShowStaticListPrice,PrixTarget,"")</f>
        <v>736</v>
      </c>
      <c r="D17" s="437" t="str">
        <f>IF(NOT(QUOTE_DistDisableSameClient),IF(Francais,"Obtenez un rabais* de 20% en commandant un deuxième produit.","Get a 20% discount* when ordering a second product."),"")</f>
        <v>Get a 20% discount* when ordering a second product.</v>
      </c>
      <c r="H17" s="442"/>
    </row>
    <row r="18" spans="1:8" ht="15.5" customHeight="1" x14ac:dyDescent="0.2">
      <c r="A18" s="152"/>
      <c r="B18" t="s">
        <v>806</v>
      </c>
      <c r="C18" s="417">
        <f>IF(ShowStaticListPrice,PrixCoreHolder22,"")</f>
        <v>163</v>
      </c>
      <c r="D18" s="437"/>
    </row>
    <row r="19" spans="1:8" ht="15.5" customHeight="1" x14ac:dyDescent="0.2">
      <c r="A19" s="152"/>
      <c r="B19" t="s">
        <v>807</v>
      </c>
      <c r="C19" s="417">
        <f>IF(ShowStaticListPrice,PrixCoreHolder36,"")</f>
        <v>218</v>
      </c>
      <c r="D19" s="437" t="str">
        <f>IF(NOT(QUOTE_DistDisableSameClient),IF(Francais,"Obtenez un rabais* de 40% en commandant un troisième produit.","Get a 40% discount* when ordering a thrid product."),"")</f>
        <v>Get a 40% discount* when ordering a thrid product.</v>
      </c>
    </row>
    <row r="20" spans="1:8" ht="15.5" customHeight="1" x14ac:dyDescent="0.2">
      <c r="A20" s="152"/>
      <c r="B20" t="s">
        <v>808</v>
      </c>
      <c r="C20" s="417">
        <f>IF(ShowStaticListPrice,PrixCorePosiLA,"")</f>
        <v>89</v>
      </c>
      <c r="D20" s="437"/>
    </row>
    <row r="21" spans="1:8" ht="15.5" customHeight="1" x14ac:dyDescent="0.2">
      <c r="A21" s="152"/>
      <c r="B21" t="s">
        <v>809</v>
      </c>
      <c r="C21" s="417">
        <f>IF(ShowStaticListPrice,PrixCorePosiSTD,"")</f>
        <v>37</v>
      </c>
      <c r="D21" s="3" t="str">
        <f>IF(NOT(QUOTE_DistDisableSameClient),IF(Francais,"Obtenez un rabais* de 60% en commandant un quatrième produit (ou plus).","Get a 60% discount* when ordering a fourth (and more) product(s)."), "")</f>
        <v>Get a 60% discount* when ordering a fourth (and more) product(s).</v>
      </c>
    </row>
    <row r="22" spans="1:8" ht="15.5" customHeight="1" x14ac:dyDescent="0.2">
      <c r="A22" s="196"/>
      <c r="B22" s="196"/>
      <c r="C22" s="418"/>
    </row>
    <row r="23" spans="1:8" ht="15.5" customHeight="1" x14ac:dyDescent="0.2">
      <c r="A23" s="196"/>
      <c r="B23" t="s">
        <v>376</v>
      </c>
      <c r="C23" s="417">
        <f>IF(ShowStaticListPrice,Calc!A51,"")</f>
        <v>1296</v>
      </c>
      <c r="D23" s="437" t="str">
        <f>IF(NOT(QUOTE_DistDisableSameClient),IF(Francais,"Les rabais ne s'appliquent qu'aux logiciels (pas au matériel).","Discounts apply on software only (not hardware)."),"")</f>
        <v>Discounts apply on software only (not hardware).</v>
      </c>
    </row>
    <row r="24" spans="1:8" ht="15.5" customHeight="1" x14ac:dyDescent="0.2">
      <c r="A24" s="196"/>
      <c r="B24" t="s">
        <v>377</v>
      </c>
      <c r="C24" s="417">
        <f>IF(ShowStaticListPrice,Calc!A52,"")</f>
        <v>2350</v>
      </c>
      <c r="D24" s="437" t="str">
        <f>IF(Francais,"Le matériel peut être partagé entre différents logiciels.", "Hardware can be shared among different software programs.")</f>
        <v>Hardware can be shared among different software programs.</v>
      </c>
    </row>
    <row r="25" spans="1:8" ht="15.5" customHeight="1" x14ac:dyDescent="0.2">
      <c r="A25" s="196"/>
      <c r="B25" t="s">
        <v>204</v>
      </c>
      <c r="C25" s="417">
        <f>IF(ShowStaticListPrice,Calc!A53,"")</f>
        <v>3698</v>
      </c>
    </row>
    <row r="26" spans="1:8" ht="15.5" customHeight="1" x14ac:dyDescent="0.2">
      <c r="A26" s="221"/>
      <c r="B26" s="419"/>
      <c r="C26" s="419"/>
    </row>
    <row r="27" spans="1:8" ht="15.5" customHeight="1" x14ac:dyDescent="0.2">
      <c r="A27" s="221"/>
      <c r="B27" t="s">
        <v>810</v>
      </c>
      <c r="C27" s="417">
        <f>IF(AND(ShowStaticListPrice,Checkbox_WithScan),
N("PrixSoftware")+INDEX(Calc!A$54:A$57,MATCH(LEFT($B27,FIND(" ",$B27,FIND(" ",$B27)+1))&amp;"*",{"WinRHIZO™ Basic 32&amp;64bit";"WinRHIZO™ Reg 32&amp;64bit";"WinRHIZO™ Pro 32&amp;64bit";"WinRHIZO™ Arabidopsis 32&amp;64bit"},0))+
IF(ISNUMBER(SEARCH("STD4800",$B27)),IF(COLUMN(A$1)=1,PrixSTD+PrixRootPosiSTD,PrixSTD_Dist+PrixRPosiSTD_Dist),0)+
IF(ISNUMBER(SEARCH("LA2400",$B27)),IF(COLUMN(A$1)=1,PrixLA+PrixRootPosiLA,PrixLA_Dist+PrixRPosiPLA_Dist),0)+
IF(ISNUMBER(SEARCH(IF(Francais,"et LS","and SLS"),$B27)),IF(COLUMN(A$1)=1,PrixTPU,PrixTPU_Dist),0)+
IF(ISNUMBER(SEARCH(IF(Francais,"Sans Scanner (STD)","Without Scanner (STD)"),$B27)),IF(COLUMN(A$1)=1,(STD_GenCalib_Drivers_Instr_Techsup),(STD_GenCalib_Drivers_Instr_Techsup)*(1-RebateHardware)),0)+
IF(ISNUMBER(SEARCH(IF(Francais,"Sans Scanner (LA)","Without Scanner (LA)"),$B27)),IF(COLUMN(A$1)=1,(LA_GenCalib_Drivers_Instr_Techsup),(LA_GenCalib_Drivers_Instr_Techsup)*(1-RebateHardware)),0),
"")</f>
        <v>2885</v>
      </c>
    </row>
    <row r="28" spans="1:8" ht="15.5" customHeight="1" x14ac:dyDescent="0.2">
      <c r="A28" s="221"/>
      <c r="B28" t="s">
        <v>811</v>
      </c>
      <c r="C28" s="417">
        <f>IF(AND(ShowStaticListPrice,Checkbox_WithScan),
N("PrixSoftware")+INDEX(Calc!A$54:A$57,MATCH(LEFT($B28,FIND(" ",$B28,FIND(" ",$B28)+1))&amp;"*",{"WinRHIZO™ Basic 32&amp;64bit";"WinRHIZO™ Reg 32&amp;64bit";"WinRHIZO™ Pro 32&amp;64bit";"WinRHIZO™ Arabidopsis 32&amp;64bit"},0))+
IF(ISNUMBER(SEARCH("STD4800",$B28)),IF(COLUMN(A$1)=1,PrixSTD+PrixRootPosiSTD,PrixSTD_Dist+PrixRPosiSTD_Dist),0)+
IF(ISNUMBER(SEARCH("LA2400",$B28)),IF(COLUMN(A$1)=1,PrixLA+PrixRootPosiLA,PrixLA_Dist+PrixRPosiPLA_Dist),0)+
IF(ISNUMBER(SEARCH(IF(Francais,"et LS","and SLS"),$B28)),IF(COLUMN(A$1)=1,PrixTPU,PrixTPU_Dist),0)+
IF(ISNUMBER(SEARCH(IF(Francais,"Sans Scanner (STD)","Without Scanner (STD)"),$B28)),IF(COLUMN(A$1)=1,(STD_GenCalib_Drivers_Instr_Techsup),(STD_GenCalib_Drivers_Instr_Techsup)*(1-RebateHardware)),0)+
IF(ISNUMBER(SEARCH(IF(Francais,"Sans Scanner (LA)","Without Scanner (LA)"),$B28)),IF(COLUMN(A$1)=1,(LA_GenCalib_Drivers_Instr_Techsup),(LA_GenCalib_Drivers_Instr_Techsup)*(1-RebateHardware)),0),
"")</f>
        <v>6688</v>
      </c>
    </row>
    <row r="29" spans="1:8" ht="15.5" customHeight="1" x14ac:dyDescent="0.2">
      <c r="A29" s="221"/>
      <c r="B29" t="s">
        <v>812</v>
      </c>
      <c r="C29" s="417">
        <f>IF(AND(ShowStaticListPrice,Checkbox_SansScanner),
N("PrixSoftware")+INDEX(Calc!A$54:A$57,MATCH(LEFT($B29,FIND(" ",$B29,FIND(" ",$B29)+1))&amp;"*",{"WinRHIZO™ Basic 32&amp;64bit";"WinRHIZO™ Reg 32&amp;64bit";"WinRHIZO™ Pro 32&amp;64bit";"WinRHIZO™ Arabidopsis 32&amp;64bit"},0))+
IF(ISNUMBER(SEARCH("STD4800",$B29)),IF(COLUMN(A$1)=1,PrixSTD+PrixRootPosiSTD,PrixSTD_Dist+PrixRPosiSTD_Dist),0)+
IF(ISNUMBER(SEARCH("LA2400",$B29)),IF(COLUMN(A$1)=1,PrixLA+PrixRootPosiLA,PrixLA_Dist+PrixRPosiPLA_Dist),0)+
IF(ISNUMBER(SEARCH(IF(Francais,"et LS","and SLS"),$B29)),IF(COLUMN(A$1)=1,PrixTPU,PrixTPU_Dist),0)+
IF(ISNUMBER(SEARCH(IF(Francais,"Sans Scanner (STD)","Without Scanner (STD)"),$B29)),IF(COLUMN(A$1)=1,(STD_GenCalib_Drivers_Instr_Techsup),(STD_GenCalib_Drivers_Instr_Techsup)*(1-RebateHardware)),0)+
IF(ISNUMBER(SEARCH(IF(Francais,"Sans Scanner (LA)","Without Scanner (LA)"),$B29)),IF(COLUMN(A$1)=1,(LA_GenCalib_Drivers_Instr_Techsup),(LA_GenCalib_Drivers_Instr_Techsup)*(1-RebateHardware)),0),
"")</f>
        <v>1480</v>
      </c>
    </row>
    <row r="30" spans="1:8" ht="15.5" customHeight="1" x14ac:dyDescent="0.2">
      <c r="A30" s="221"/>
      <c r="B30" t="s">
        <v>813</v>
      </c>
      <c r="C30" s="417">
        <f>IF(AND(ShowStaticListPrice,Checkbox_SansScanner),
N("PrixSoftware")+INDEX(Calc!A$54:A$57,MATCH(LEFT($B30,FIND(" ",$B30,FIND(" ",$B30)+1))&amp;"*",{"WinRHIZO™ Basic 32&amp;64bit";"WinRHIZO™ Reg 32&amp;64bit";"WinRHIZO™ Pro 32&amp;64bit";"WinRHIZO™ Arabidopsis 32&amp;64bit"},0))+
IF(ISNUMBER(SEARCH("STD4800",$B30)),IF(COLUMN(A$1)=1,PrixSTD+PrixRootPosiSTD,PrixSTD_Dist+PrixRPosiSTD_Dist),0)+
IF(ISNUMBER(SEARCH("LA2400",$B30)),IF(COLUMN(A$1)=1,PrixLA+PrixRootPosiLA,PrixLA_Dist+PrixRPosiPLA_Dist),0)+
IF(ISNUMBER(SEARCH(IF(Francais,"et LS","and SLS"),$B30)),IF(COLUMN(A$1)=1,PrixTPU,PrixTPU_Dist),0)+
IF(ISNUMBER(SEARCH(IF(Francais,"Sans Scanner (STD)","Without Scanner (STD)"),$B30)),IF(COLUMN(A$1)=1,(STD_GenCalib_Drivers_Instr_Techsup),(STD_GenCalib_Drivers_Instr_Techsup)*(1-RebateHardware)),0)+
IF(ISNUMBER(SEARCH(IF(Francais,"Sans Scanner (LA)","Without Scanner (LA)"),$B30)),IF(COLUMN(A$1)=1,(LA_GenCalib_Drivers_Instr_Techsup),(LA_GenCalib_Drivers_Instr_Techsup)*(1-RebateHardware)),0),
"")</f>
        <v>1480</v>
      </c>
    </row>
    <row r="31" spans="1:8" ht="15.5" customHeight="1" x14ac:dyDescent="0.2">
      <c r="A31" s="221"/>
      <c r="B31" t="s">
        <v>814</v>
      </c>
      <c r="C31" s="417">
        <f>IF(AND(ShowStaticListPrice,Checkbox_WithScan),
N("PrixSoftware")+INDEX(Calc!A$54:A$57,MATCH(LEFT($B31,FIND(" ",$B31,FIND(" ",$B31)+1))&amp;"*",{"WinRHIZO™ Basic 32&amp;64bit";"WinRHIZO™ Reg 32&amp;64bit";"WinRHIZO™ Pro 32&amp;64bit";"WinRHIZO™ Arabidopsis 32&amp;64bit"},0))+
IF(ISNUMBER(SEARCH("STD4800",$B31)),IF(COLUMN(A$1)=1,PrixSTD+PrixRootPosiSTD,PrixSTD_Dist+PrixRPosiSTD_Dist),0)+
IF(ISNUMBER(SEARCH("LA2400",$B31)),IF(COLUMN(A$1)=1,PrixLA+PrixRootPosiLA,PrixLA_Dist+PrixRPosiPLA_Dist),0)+
IF(ISNUMBER(SEARCH(IF(Francais,"et LS","and SLS"),$B31)),IF(COLUMN(A$1)=1,PrixTPU,PrixTPU_Dist),0)+
IF(ISNUMBER(SEARCH(IF(Francais,"Sans Scanner (STD)","Without Scanner (STD)"),$B31)),IF(COLUMN(A$1)=1,(STD_GenCalib_Drivers_Instr_Techsup),(STD_GenCalib_Drivers_Instr_Techsup)*(1-RebateHardware)),0)+
IF(ISNUMBER(SEARCH(IF(Francais,"Sans Scanner (LA)","Without Scanner (LA)"),$B31)),IF(COLUMN(A$1)=1,(LA_GenCalib_Drivers_Instr_Techsup),(LA_GenCalib_Drivers_Instr_Techsup)*(1-RebateHardware)),0),
"")</f>
        <v>4776</v>
      </c>
    </row>
    <row r="32" spans="1:8" ht="15.5" customHeight="1" x14ac:dyDescent="0.2">
      <c r="A32" s="221"/>
      <c r="B32" t="s">
        <v>815</v>
      </c>
      <c r="C32" s="417">
        <f>IF(AND(ShowStaticListPrice,Checkbox_WithScan),
N("PrixSoftware")+INDEX(Calc!A$54:A$57,MATCH(LEFT($B32,FIND(" ",$B32,FIND(" ",$B32)+1))&amp;"*",{"WinRHIZO™ Basic 32&amp;64bit";"WinRHIZO™ Reg 32&amp;64bit";"WinRHIZO™ Pro 32&amp;64bit";"WinRHIZO™ Arabidopsis 32&amp;64bit"},0))+
IF(ISNUMBER(SEARCH("STD4800",$B32)),IF(COLUMN(A$1)=1,PrixSTD+PrixRootPosiSTD,PrixSTD_Dist+PrixRPosiSTD_Dist),0)+
IF(ISNUMBER(SEARCH("LA2400",$B32)),IF(COLUMN(A$1)=1,PrixLA+PrixRootPosiLA,PrixLA_Dist+PrixRPosiPLA_Dist),0)+
IF(ISNUMBER(SEARCH(IF(Francais,"et LS","and SLS"),$B32)),IF(COLUMN(A$1)=1,PrixTPU,PrixTPU_Dist),0)+
IF(ISNUMBER(SEARCH(IF(Francais,"Sans Scanner (STD)","Without Scanner (STD)"),$B32)),IF(COLUMN(A$1)=1,(STD_GenCalib_Drivers_Instr_Techsup),(STD_GenCalib_Drivers_Instr_Techsup)*(1-RebateHardware)),0)+
IF(ISNUMBER(SEARCH(IF(Francais,"Sans Scanner (LA)","Without Scanner (LA)"),$B32)),IF(COLUMN(A$1)=1,(LA_GenCalib_Drivers_Instr_Techsup),(LA_GenCalib_Drivers_Instr_Techsup)*(1-RebateHardware)),0),
"")</f>
        <v>8579</v>
      </c>
    </row>
    <row r="33" spans="1:4" ht="15.5" customHeight="1" x14ac:dyDescent="0.2">
      <c r="A33" s="221"/>
      <c r="B33" t="s">
        <v>816</v>
      </c>
      <c r="C33" s="417">
        <f>IF(AND(ShowStaticListPrice,Checkbox_SansScanner),
N("PrixSoftware")+INDEX(Calc!A$54:A$57,MATCH(LEFT($B33,FIND(" ",$B33,FIND(" ",$B33)+1))&amp;"*",{"WinRHIZO™ Basic 32&amp;64bit";"WinRHIZO™ Reg 32&amp;64bit";"WinRHIZO™ Pro 32&amp;64bit";"WinRHIZO™ Arabidopsis 32&amp;64bit"},0))+
IF(ISNUMBER(SEARCH("STD4800",$B33)),IF(COLUMN(A$1)=1,PrixSTD+PrixRootPosiSTD,PrixSTD_Dist+PrixRPosiSTD_Dist),0)+
IF(ISNUMBER(SEARCH("LA2400",$B33)),IF(COLUMN(A$1)=1,PrixLA+PrixRootPosiLA,PrixLA_Dist+PrixRPosiPLA_Dist),0)+
IF(ISNUMBER(SEARCH(IF(Francais,"et LS","and SLS"),$B33)),IF(COLUMN(A$1)=1,PrixTPU,PrixTPU_Dist),0)+
IF(ISNUMBER(SEARCH(IF(Francais,"Sans Scanner (STD)","Without Scanner (STD)"),$B33)),IF(COLUMN(A$1)=1,(STD_GenCalib_Drivers_Instr_Techsup),(STD_GenCalib_Drivers_Instr_Techsup)*(1-RebateHardware)),0)+
IF(ISNUMBER(SEARCH(IF(Francais,"Sans Scanner (LA)","Without Scanner (LA)"),$B33)),IF(COLUMN(A$1)=1,(LA_GenCalib_Drivers_Instr_Techsup),(LA_GenCalib_Drivers_Instr_Techsup)*(1-RebateHardware)),0),
"")</f>
        <v>3371</v>
      </c>
    </row>
    <row r="34" spans="1:4" ht="15.5" customHeight="1" x14ac:dyDescent="0.2">
      <c r="A34" s="221"/>
      <c r="B34" t="s">
        <v>817</v>
      </c>
      <c r="C34" s="417">
        <f>IF(AND(ShowStaticListPrice,Checkbox_SansScanner),
N("PrixSoftware")+INDEX(Calc!A$54:A$57,MATCH(LEFT($B34,FIND(" ",$B34,FIND(" ",$B34)+1))&amp;"*",{"WinRHIZO™ Basic 32&amp;64bit";"WinRHIZO™ Reg 32&amp;64bit";"WinRHIZO™ Pro 32&amp;64bit";"WinRHIZO™ Arabidopsis 32&amp;64bit"},0))+
IF(ISNUMBER(SEARCH("STD4800",$B34)),IF(COLUMN(A$1)=1,PrixSTD+PrixRootPosiSTD,PrixSTD_Dist+PrixRPosiSTD_Dist),0)+
IF(ISNUMBER(SEARCH("LA2400",$B34)),IF(COLUMN(A$1)=1,PrixLA+PrixRootPosiLA,PrixLA_Dist+PrixRPosiPLA_Dist),0)+
IF(ISNUMBER(SEARCH(IF(Francais,"et LS","and SLS"),$B34)),IF(COLUMN(A$1)=1,PrixTPU,PrixTPU_Dist),0)+
IF(ISNUMBER(SEARCH(IF(Francais,"Sans Scanner (STD)","Without Scanner (STD)"),$B34)),IF(COLUMN(A$1)=1,(STD_GenCalib_Drivers_Instr_Techsup),(STD_GenCalib_Drivers_Instr_Techsup)*(1-RebateHardware)),0)+
IF(ISNUMBER(SEARCH(IF(Francais,"Sans Scanner (LA)","Without Scanner (LA)"),$B34)),IF(COLUMN(A$1)=1,(LA_GenCalib_Drivers_Instr_Techsup),(LA_GenCalib_Drivers_Instr_Techsup)*(1-RebateHardware)),0),
"")</f>
        <v>3371</v>
      </c>
    </row>
    <row r="35" spans="1:4" ht="15.5" customHeight="1" x14ac:dyDescent="0.2">
      <c r="A35" s="221"/>
      <c r="B35" t="s">
        <v>818</v>
      </c>
      <c r="C35" s="417">
        <f>IF(AND(ShowStaticListPrice,Checkbox_WithScan),
N("PrixSoftware")+INDEX(Calc!A$54:A$57,MATCH(LEFT($B35,FIND(" ",$B35,FIND(" ",$B35)+1))&amp;"*",{"WinRHIZO™ Basic 32&amp;64bit";"WinRHIZO™ Reg 32&amp;64bit";"WinRHIZO™ Pro 32&amp;64bit";"WinRHIZO™ Arabidopsis 32&amp;64bit"},0))+
IF(ISNUMBER(SEARCH("STD4800",$B35)),IF(COLUMN(A$1)=1,PrixSTD+PrixRootPosiSTD,PrixSTD_Dist+PrixRPosiSTD_Dist),0)+
IF(ISNUMBER(SEARCH("LA2400",$B35)),IF(COLUMN(A$1)=1,PrixLA+PrixRootPosiLA,PrixLA_Dist+PrixRPosiPLA_Dist),0)+
IF(ISNUMBER(SEARCH(IF(Francais,"et LS","and SLS"),$B35)),IF(COLUMN(A$1)=1,PrixTPU,PrixTPU_Dist),0)+
IF(ISNUMBER(SEARCH(IF(Francais,"Sans Scanner (STD)","Without Scanner (STD)"),$B35)),IF(COLUMN(A$1)=1,(STD_GenCalib_Drivers_Instr_Techsup),(STD_GenCalib_Drivers_Instr_Techsup)*(1-RebateHardware)),0)+
IF(ISNUMBER(SEARCH(IF(Francais,"Sans Scanner (LA)","Without Scanner (LA)"),$B35)),IF(COLUMN(A$1)=1,(LA_GenCalib_Drivers_Instr_Techsup),(LA_GenCalib_Drivers_Instr_Techsup)*(1-RebateHardware)),0),
"")</f>
        <v>6732</v>
      </c>
    </row>
    <row r="36" spans="1:4" ht="15.5" customHeight="1" x14ac:dyDescent="0.2">
      <c r="A36" s="221"/>
      <c r="B36" t="s">
        <v>819</v>
      </c>
      <c r="C36" s="417">
        <f>IF(AND(ShowStaticListPrice,Checkbox_WithScan),
N("PrixSoftware")+INDEX(Calc!A$54:A$57,MATCH(LEFT($B36,FIND(" ",$B36,FIND(" ",$B36)+1))&amp;"*",{"WinRHIZO™ Basic 32&amp;64bit";"WinRHIZO™ Reg 32&amp;64bit";"WinRHIZO™ Pro 32&amp;64bit";"WinRHIZO™ Arabidopsis 32&amp;64bit"},0))+
IF(ISNUMBER(SEARCH("STD4800",$B36)),IF(COLUMN(A$1)=1,PrixSTD+PrixRootPosiSTD,PrixSTD_Dist+PrixRPosiSTD_Dist),0)+
IF(ISNUMBER(SEARCH("LA2400",$B36)),IF(COLUMN(A$1)=1,PrixLA+PrixRootPosiLA,PrixLA_Dist+PrixRPosiPLA_Dist),0)+
IF(ISNUMBER(SEARCH(IF(Francais,"et LS","and SLS"),$B36)),IF(COLUMN(A$1)=1,PrixTPU,PrixTPU_Dist),0)+
IF(ISNUMBER(SEARCH(IF(Francais,"Sans Scanner (STD)","Without Scanner (STD)"),$B36)),IF(COLUMN(A$1)=1,(STD_GenCalib_Drivers_Instr_Techsup),(STD_GenCalib_Drivers_Instr_Techsup)*(1-RebateHardware)),0)+
IF(ISNUMBER(SEARCH(IF(Francais,"Sans Scanner (LA)","Without Scanner (LA)"),$B36)),IF(COLUMN(A$1)=1,(LA_GenCalib_Drivers_Instr_Techsup),(LA_GenCalib_Drivers_Instr_Techsup)*(1-RebateHardware)),0),
"")</f>
        <v>10535</v>
      </c>
    </row>
    <row r="37" spans="1:4" ht="15.5" customHeight="1" x14ac:dyDescent="0.2">
      <c r="A37" s="221"/>
      <c r="B37" t="s">
        <v>820</v>
      </c>
      <c r="C37" s="417">
        <f>IF(AND(ShowStaticListPrice,Checkbox_SansScanner),
N("PrixSoftware")+INDEX(Calc!A$54:A$57,MATCH(LEFT($B37,FIND(" ",$B37,FIND(" ",$B37)+1))&amp;"*",{"WinRHIZO™ Basic 32&amp;64bit";"WinRHIZO™ Reg 32&amp;64bit";"WinRHIZO™ Pro 32&amp;64bit";"WinRHIZO™ Arabidopsis 32&amp;64bit"},0))+
IF(ISNUMBER(SEARCH("STD4800",$B37)),IF(COLUMN(A$1)=1,PrixSTD+PrixRootPosiSTD,PrixSTD_Dist+PrixRPosiSTD_Dist),0)+
IF(ISNUMBER(SEARCH("LA2400",$B37)),IF(COLUMN(A$1)=1,PrixLA+PrixRootPosiLA,PrixLA_Dist+PrixRPosiPLA_Dist),0)+
IF(ISNUMBER(SEARCH(IF(Francais,"et LS","and SLS"),$B37)),IF(COLUMN(A$1)=1,PrixTPU,PrixTPU_Dist),0)+
IF(ISNUMBER(SEARCH(IF(Francais,"Sans Scanner (STD)","Without Scanner (STD)"),$B37)),IF(COLUMN(A$1)=1,(STD_GenCalib_Drivers_Instr_Techsup),(STD_GenCalib_Drivers_Instr_Techsup)*(1-RebateHardware)),0)+
IF(ISNUMBER(SEARCH(IF(Francais,"Sans Scanner (LA)","Without Scanner (LA)"),$B37)),IF(COLUMN(A$1)=1,(LA_GenCalib_Drivers_Instr_Techsup),(LA_GenCalib_Drivers_Instr_Techsup)*(1-RebateHardware)),0),
"")</f>
        <v>5327</v>
      </c>
      <c r="D37" s="853" t="str">
        <f>IF(NOT(QUOTE_DistDisableSameClient),IF(Francais,"Contactez sales@regentinstruments.com pour obtenir un devis avec des rabais ou utilisez notre liste de prix Excel dynamique pour que les rabais soient calculés automatiquement.","Contact sales@regentinstruments.com to get a quote with discounts or use our dynamic Excel's price list to get the discount calculated automatically."),"")</f>
        <v>Contact sales@regentinstruments.com to get a quote with discounts or use our dynamic Excel's price list to get the discount calculated automatically.</v>
      </c>
    </row>
    <row r="38" spans="1:4" ht="15.5" customHeight="1" x14ac:dyDescent="0.2">
      <c r="A38" s="221"/>
      <c r="B38" t="s">
        <v>821</v>
      </c>
      <c r="C38" s="417">
        <f>IF(AND(ShowStaticListPrice,Checkbox_SansScanner),
N("PrixSoftware")+INDEX(Calc!A$54:A$57,MATCH(LEFT($B38,FIND(" ",$B38,FIND(" ",$B38)+1))&amp;"*",{"WinRHIZO™ Basic 32&amp;64bit";"WinRHIZO™ Reg 32&amp;64bit";"WinRHIZO™ Pro 32&amp;64bit";"WinRHIZO™ Arabidopsis 32&amp;64bit"},0))+
IF(ISNUMBER(SEARCH("STD4800",$B38)),IF(COLUMN(A$1)=1,PrixSTD+PrixRootPosiSTD,PrixSTD_Dist+PrixRPosiSTD_Dist),0)+
IF(ISNUMBER(SEARCH("LA2400",$B38)),IF(COLUMN(A$1)=1,PrixLA+PrixRootPosiLA,PrixLA_Dist+PrixRPosiPLA_Dist),0)+
IF(ISNUMBER(SEARCH(IF(Francais,"et LS","and SLS"),$B38)),IF(COLUMN(A$1)=1,PrixTPU,PrixTPU_Dist),0)+
IF(ISNUMBER(SEARCH(IF(Francais,"Sans Scanner (STD)","Without Scanner (STD)"),$B38)),IF(COLUMN(A$1)=1,(STD_GenCalib_Drivers_Instr_Techsup),(STD_GenCalib_Drivers_Instr_Techsup)*(1-RebateHardware)),0)+
IF(ISNUMBER(SEARCH(IF(Francais,"Sans Scanner (LA)","Without Scanner (LA)"),$B38)),IF(COLUMN(A$1)=1,(LA_GenCalib_Drivers_Instr_Techsup),(LA_GenCalib_Drivers_Instr_Techsup)*(1-RebateHardware)),0),
"")</f>
        <v>5327</v>
      </c>
      <c r="D38" s="853"/>
    </row>
    <row r="39" spans="1:4" ht="15.5" customHeight="1" x14ac:dyDescent="0.2">
      <c r="A39" s="221"/>
      <c r="B39" t="s">
        <v>822</v>
      </c>
      <c r="C39" s="417">
        <f>IF(AND(ShowStaticListPrice,Checkbox_WithScan),
N("PrixSoftware")+INDEX(Calc!A$54:A$57,MATCH(LEFT($B39,FIND(" ",$B39,FIND(" ",$B39)+1))&amp;"*",{"WinRHIZO™ Basic 32&amp;64bit";"WinRHIZO™ Reg 32&amp;64bit";"WinRHIZO™ Pro 32&amp;64bit";"WinRHIZO™ Arabidopsis 32&amp;64bit"},0))+
IF(ISNUMBER(SEARCH("STD4800",$B39)),IF(COLUMN(A$1)=1,PrixSTD+PrixRootPosiSTD,PrixSTD_Dist+PrixRPosiSTD_Dist),0)+
IF(ISNUMBER(SEARCH("LA2400",$B39)),IF(COLUMN(A$1)=1,PrixLA+PrixRootPosiLA,PrixLA_Dist+PrixRPosiPLA_Dist),0)+
IF(ISNUMBER(SEARCH(IF(Francais,"et LS","and SLS"),$B39)),IF(COLUMN(A$1)=1,PrixTPU,PrixTPU_Dist),0)+
IF(ISNUMBER(SEARCH(IF(Francais,"Sans Scanner (STD)","Without Scanner (STD)"),$B39)),IF(COLUMN(A$1)=1,(STD_GenCalib_Drivers_Instr_Techsup),(STD_GenCalib_Drivers_Instr_Techsup)*(1-RebateHardware)),0)+
IF(ISNUMBER(SEARCH(IF(Francais,"Sans Scanner (LA)","Without Scanner (LA)"),$B39)),IF(COLUMN(A$1)=1,(LA_GenCalib_Drivers_Instr_Techsup),(LA_GenCalib_Drivers_Instr_Techsup)*(1-RebateHardware)),0),
"")</f>
        <v>8004</v>
      </c>
      <c r="D39" s="853"/>
    </row>
    <row r="40" spans="1:4" ht="15.5" customHeight="1" x14ac:dyDescent="0.2">
      <c r="A40" s="221"/>
      <c r="B40" t="s">
        <v>823</v>
      </c>
      <c r="C40" s="417">
        <f>IF(AND(ShowStaticListPrice,Checkbox_WithScan),
N("PrixSoftware")+INDEX(Calc!A$54:A$57,MATCH(LEFT($B40,FIND(" ",$B40,FIND(" ",$B40)+1))&amp;"*",{"WinRHIZO™ Basic 32&amp;64bit";"WinRHIZO™ Reg 32&amp;64bit";"WinRHIZO™ Pro 32&amp;64bit";"WinRHIZO™ Arabidopsis 32&amp;64bit"},0))+
IF(ISNUMBER(SEARCH("STD4800",$B40)),IF(COLUMN(A$1)=1,PrixSTD+PrixRootPosiSTD,PrixSTD_Dist+PrixRPosiSTD_Dist),0)+
IF(ISNUMBER(SEARCH("LA2400",$B40)),IF(COLUMN(A$1)=1,PrixLA+PrixRootPosiLA,PrixLA_Dist+PrixRPosiPLA_Dist),0)+
IF(ISNUMBER(SEARCH(IF(Francais,"et LS","and SLS"),$B40)),IF(COLUMN(A$1)=1,PrixTPU,PrixTPU_Dist),0)+
IF(ISNUMBER(SEARCH(IF(Francais,"Sans Scanner (STD)","Without Scanner (STD)"),$B40)),IF(COLUMN(A$1)=1,(STD_GenCalib_Drivers_Instr_Techsup),(STD_GenCalib_Drivers_Instr_Techsup)*(1-RebateHardware)),0)+
IF(ISNUMBER(SEARCH(IF(Francais,"Sans Scanner (LA)","Without Scanner (LA)"),$B40)),IF(COLUMN(A$1)=1,(LA_GenCalib_Drivers_Instr_Techsup),(LA_GenCalib_Drivers_Instr_Techsup)*(1-RebateHardware)),0),
"")</f>
        <v>11807</v>
      </c>
      <c r="D40" s="853"/>
    </row>
    <row r="41" spans="1:4" ht="21" x14ac:dyDescent="0.2">
      <c r="A41" s="221"/>
      <c r="B41" t="s">
        <v>824</v>
      </c>
      <c r="C41" s="417">
        <f>IF(AND(ShowStaticListPrice,Checkbox_SansScanner),
N("PrixSoftware")+INDEX(Calc!A$54:A$57,MATCH(LEFT($B41,FIND(" ",$B41,FIND(" ",$B41)+1))&amp;"*",{"WinRHIZO™ Basic 32&amp;64bit";"WinRHIZO™ Reg 32&amp;64bit";"WinRHIZO™ Pro 32&amp;64bit";"WinRHIZO™ Arabidopsis 32&amp;64bit"},0))+
IF(ISNUMBER(SEARCH("STD4800",$B41)),IF(COLUMN(A$1)=1,PrixSTD+PrixRootPosiSTD,PrixSTD_Dist+PrixRPosiSTD_Dist),0)+
IF(ISNUMBER(SEARCH("LA2400",$B41)),IF(COLUMN(A$1)=1,PrixLA+PrixRootPosiLA,PrixLA_Dist+PrixRPosiPLA_Dist),0)+
IF(ISNUMBER(SEARCH(IF(Francais,"et LS","and SLS"),$B41)),IF(COLUMN(A$1)=1,PrixTPU,PrixTPU_Dist),0)+
IF(ISNUMBER(SEARCH(IF(Francais,"Sans Scanner (STD)","Without Scanner (STD)"),$B41)),IF(COLUMN(A$1)=1,(STD_GenCalib_Drivers_Instr_Techsup),(STD_GenCalib_Drivers_Instr_Techsup)*(1-RebateHardware)),0)+
IF(ISNUMBER(SEARCH(IF(Francais,"Sans Scanner (LA)","Without Scanner (LA)"),$B41)),IF(COLUMN(A$1)=1,(LA_GenCalib_Drivers_Instr_Techsup),(LA_GenCalib_Drivers_Instr_Techsup)*(1-RebateHardware)),0),
"")</f>
        <v>6599</v>
      </c>
    </row>
    <row r="42" spans="1:4" ht="21" x14ac:dyDescent="0.2">
      <c r="A42" s="221"/>
      <c r="B42" t="s">
        <v>825</v>
      </c>
      <c r="C42" s="417">
        <f>IF(AND(ShowStaticListPrice,Checkbox_SansScanner),
N("PrixSoftware")+INDEX(Calc!A$54:A$57,MATCH(LEFT($B42,FIND(" ",$B42,FIND(" ",$B42)+1))&amp;"*",{"WinRHIZO™ Basic 32&amp;64bit";"WinRHIZO™ Reg 32&amp;64bit";"WinRHIZO™ Pro 32&amp;64bit";"WinRHIZO™ Arabidopsis 32&amp;64bit"},0))+
IF(ISNUMBER(SEARCH("STD4800",$B42)),IF(COLUMN(A$1)=1,PrixSTD+PrixRootPosiSTD,PrixSTD_Dist+PrixRPosiSTD_Dist),0)+
IF(ISNUMBER(SEARCH("LA2400",$B42)),IF(COLUMN(A$1)=1,PrixLA+PrixRootPosiLA,PrixLA_Dist+PrixRPosiPLA_Dist),0)+
IF(ISNUMBER(SEARCH(IF(Francais,"et LS","and SLS"),$B42)),IF(COLUMN(A$1)=1,PrixTPU,PrixTPU_Dist),0)+
IF(ISNUMBER(SEARCH(IF(Francais,"Sans Scanner (STD)","Without Scanner (STD)"),$B42)),IF(COLUMN(A$1)=1,(STD_GenCalib_Drivers_Instr_Techsup),(STD_GenCalib_Drivers_Instr_Techsup)*(1-RebateHardware)),0)+
IF(ISNUMBER(SEARCH(IF(Francais,"Sans Scanner (LA)","Without Scanner (LA)"),$B42)),IF(COLUMN(A$1)=1,(LA_GenCalib_Drivers_Instr_Techsup),(LA_GenCalib_Drivers_Instr_Techsup)*(1-RebateHardware)),0),
"")</f>
        <v>6599</v>
      </c>
    </row>
    <row r="43" spans="1:4" x14ac:dyDescent="0.2">
      <c r="A43" s="245"/>
      <c r="B43" s="422"/>
      <c r="C43" s="422"/>
    </row>
    <row r="44" spans="1:4" x14ac:dyDescent="0.2">
      <c r="A44" s="245"/>
      <c r="B44" t="s">
        <v>826</v>
      </c>
      <c r="C44" s="417">
        <f>IF(AND(ShowStaticListPrice,Checkbox_WithScan),
N("PrixSoftware")+INDEX(SEEDLE_SoftwarePriceList,MATCH(LEFT($B44,FIND(" ",$B44,FIND(" ",$B44)+1))&amp;"*",{"WinSEEDLE™ Basic 32&amp;64bit";"WinSEEDLE™ Reg 32&amp;64bit";"WinSEEDLE™ Pro 32&amp;64bit"},0))+
IF(ISNUMBER(SEARCH("STD4800",$B44)),IF(COLUMN(A$1)=1,PrixSTD+PrixRootPosiSTD,PrixSTD_Dist+PrixRPosiSTD_Dist),0)+
IF(ISNUMBER(SEARCH("LA2400",$B44)),IF(COLUMN(A$1)=1,PrixLA+PrixRootPosiLA,PrixLA_Dist+PrixRPosiPLA_Dist),0)+
IF(ISNUMBER(SEARCH(IF(Francais,"et LS","and SLS"),$B44)),IF(COLUMN(A$1)=1,PrixTPU,PrixTPU_Dist),0)+
IF(ISNUMBER(SEARCH(IF(Francais,"Sans Scanner (STD)","Without Scanner (STD)"),$B44)),IF(COLUMN(A$1)=1,(STD_GenCalib_Drivers_Instr_Techsup),(STD_GenCalib_Drivers_Instr_Techsup)*(1-RebateHardware)),0)+
IF(ISNUMBER(SEARCH(IF(Francais,"Sans Scanner (LA)","Without Scanner (LA)"),$B44)),IF(COLUMN(A$1)=1,(LA_GenCalib_Drivers_Instr_Techsup),(LA_GenCalib_Drivers_Instr_Techsup)*(1-RebateHardware)),0),
"")</f>
        <v>2841</v>
      </c>
    </row>
    <row r="45" spans="1:4" x14ac:dyDescent="0.2">
      <c r="A45" s="245"/>
      <c r="B45" t="s">
        <v>827</v>
      </c>
      <c r="C45" s="417">
        <f>IF(AND(ShowStaticListPrice,Checkbox_WithScan),
N("PrixSoftware")+INDEX(SEEDLE_SoftwarePriceList,MATCH(LEFT($B45,FIND(" ",$B45,FIND(" ",$B45)+1))&amp;"*",{"WinSEEDLE™ Basic 32&amp;64bit";"WinSEEDLE™ Reg 32&amp;64bit";"WinSEEDLE™ Pro 32&amp;64bit"},0))+
IF(ISNUMBER(SEARCH("STD4800",$B45)),IF(COLUMN(A$1)=1,PrixSTD+PrixRootPosiSTD,PrixSTD_Dist+PrixRPosiSTD_Dist),0)+
IF(ISNUMBER(SEARCH("LA2400",$B45)),IF(COLUMN(A$1)=1,PrixLA+PrixRootPosiLA,PrixLA_Dist+PrixRPosiPLA_Dist),0)+
IF(ISNUMBER(SEARCH(IF(Francais,"et LS","and SLS"),$B45)),IF(COLUMN(A$1)=1,PrixTPU,PrixTPU_Dist),0)+
IF(ISNUMBER(SEARCH(IF(Francais,"Sans Scanner (STD)","Without Scanner (STD)"),$B45)),IF(COLUMN(A$1)=1,(STD_GenCalib_Drivers_Instr_Techsup),(STD_GenCalib_Drivers_Instr_Techsup)*(1-RebateHardware)),0)+
IF(ISNUMBER(SEARCH(IF(Francais,"Sans Scanner (LA)","Without Scanner (LA)"),$B45)),IF(COLUMN(A$1)=1,(LA_GenCalib_Drivers_Instr_Techsup),(LA_GenCalib_Drivers_Instr_Techsup)*(1-RebateHardware)),0),
"")</f>
        <v>6644</v>
      </c>
    </row>
    <row r="46" spans="1:4" x14ac:dyDescent="0.2">
      <c r="A46" s="245"/>
      <c r="B46" t="s">
        <v>828</v>
      </c>
      <c r="C46" s="417">
        <f>IF(AND(ShowStaticListPrice,Checkbox_SansScanner),
N("PrixSoftware")+INDEX(SEEDLE_SoftwarePriceList,MATCH(LEFT($B46,FIND(" ",$B46,FIND(" ",$B46)+1))&amp;"*",{"WinSEEDLE™ Basic 32&amp;64bit";"WinSEEDLE™ Reg 32&amp;64bit";"WinSEEDLE™ Pro 32&amp;64bit"},0))+
IF(ISNUMBER(SEARCH("STD4800",$B46)),IF(COLUMN(A$1)=1,PrixSTD+PrixRootPosiSTD,PrixSTD_Dist+PrixRPosiSTD_Dist),0)+
IF(ISNUMBER(SEARCH("LA2400",$B46)),IF(COLUMN(A$1)=1,PrixLA+PrixRootPosiLA,PrixLA_Dist+PrixRPosiPLA_Dist),0)+
IF(ISNUMBER(SEARCH(IF(Francais,"et LS","and SLS"),$B46)),IF(COLUMN(A$1)=1,PrixTPU,PrixTPU_Dist),0)+
IF(ISNUMBER(SEARCH(IF(Francais,"Sans Scanner (STD)","Without Scanner (STD)"),$B46)),IF(COLUMN(A$1)=1,(STD_GenCalib_Drivers_Instr_Techsup),(STD_GenCalib_Drivers_Instr_Techsup)*(1-RebateHardware)),0)+
IF(ISNUMBER(SEARCH(IF(Francais,"Sans Scanner (LA)","Without Scanner (LA)"),$B46)),IF(COLUMN(A$1)=1,(LA_GenCalib_Drivers_Instr_Techsup),(LA_GenCalib_Drivers_Instr_Techsup)*(1-RebateHardware)),0),
"")</f>
        <v>1436</v>
      </c>
    </row>
    <row r="47" spans="1:4" x14ac:dyDescent="0.2">
      <c r="A47" s="245"/>
      <c r="B47" t="s">
        <v>829</v>
      </c>
      <c r="C47" s="417">
        <f>IF(AND(ShowStaticListPrice,Checkbox_SansScanner),
N("PrixSoftware")+INDEX(SEEDLE_SoftwarePriceList,MATCH(LEFT($B47,FIND(" ",$B47,FIND(" ",$B47)+1))&amp;"*",{"WinSEEDLE™ Basic 32&amp;64bit";"WinSEEDLE™ Reg 32&amp;64bit";"WinSEEDLE™ Pro 32&amp;64bit"},0))+
IF(ISNUMBER(SEARCH("STD4800",$B47)),IF(COLUMN(A$1)=1,PrixSTD+PrixRootPosiSTD,PrixSTD_Dist+PrixRPosiSTD_Dist),0)+
IF(ISNUMBER(SEARCH("LA2400",$B47)),IF(COLUMN(A$1)=1,PrixLA+PrixRootPosiLA,PrixLA_Dist+PrixRPosiPLA_Dist),0)+
IF(ISNUMBER(SEARCH(IF(Francais,"et LS","and SLS"),$B47)),IF(COLUMN(A$1)=1,PrixTPU,PrixTPU_Dist),0)+
IF(ISNUMBER(SEARCH(IF(Francais,"Sans Scanner (STD)","Without Scanner (STD)"),$B47)),IF(COLUMN(A$1)=1,(STD_GenCalib_Drivers_Instr_Techsup),(STD_GenCalib_Drivers_Instr_Techsup)*(1-RebateHardware)),0)+
IF(ISNUMBER(SEARCH(IF(Francais,"Sans Scanner (LA)","Without Scanner (LA)"),$B47)),IF(COLUMN(A$1)=1,(LA_GenCalib_Drivers_Instr_Techsup),(LA_GenCalib_Drivers_Instr_Techsup)*(1-RebateHardware)),0),
"")</f>
        <v>1436</v>
      </c>
    </row>
    <row r="48" spans="1:4" x14ac:dyDescent="0.2">
      <c r="A48" s="245"/>
      <c r="B48" t="s">
        <v>830</v>
      </c>
      <c r="C48" s="417">
        <f>IF(AND(ShowStaticListPrice,Checkbox_WithScan),
N("PrixSoftware")+INDEX(SEEDLE_SoftwarePriceList,MATCH(LEFT($B48,FIND(" ",$B48,FIND(" ",$B48)+1))&amp;"*",{"WinSEEDLE™ Basic 32&amp;64bit";"WinSEEDLE™ Reg 32&amp;64bit";"WinSEEDLE™ Pro 32&amp;64bit"},0))+
IF(ISNUMBER(SEARCH("STD4800",$B48)),IF(COLUMN(A$1)=1,PrixSTD+PrixRootPosiSTD,PrixSTD_Dist+PrixRPosiSTD_Dist),0)+
IF(ISNUMBER(SEARCH("LA2400",$B48)),IF(COLUMN(A$1)=1,PrixLA+PrixRootPosiLA,PrixLA_Dist+PrixRPosiPLA_Dist),0)+
IF(ISNUMBER(SEARCH(IF(Francais,"et LS","and SLS"),$B48)),IF(COLUMN(A$1)=1,PrixTPU,PrixTPU_Dist),0)+
IF(ISNUMBER(SEARCH(IF(Francais,"Sans Scanner (STD)","Without Scanner (STD)"),$B48)),IF(COLUMN(A$1)=1,(STD_GenCalib_Drivers_Instr_Techsup),(STD_GenCalib_Drivers_Instr_Techsup)*(1-RebateHardware)),0)+
IF(ISNUMBER(SEARCH(IF(Francais,"Sans Scanner (LA)","Without Scanner (LA)"),$B48)),IF(COLUMN(A$1)=1,(LA_GenCalib_Drivers_Instr_Techsup),(LA_GenCalib_Drivers_Instr_Techsup)*(1-RebateHardware)),0),
"")</f>
        <v>3573</v>
      </c>
    </row>
    <row r="49" spans="1:3" x14ac:dyDescent="0.2">
      <c r="A49" s="245"/>
      <c r="B49" t="s">
        <v>831</v>
      </c>
      <c r="C49" s="417">
        <f>IF(AND(ShowStaticListPrice,Checkbox_WithScan),
N("PrixSoftware")+INDEX(SEEDLE_SoftwarePriceList,MATCH(LEFT($B49,FIND(" ",$B49,FIND(" ",$B49)+1))&amp;"*",{"WinSEEDLE™ Basic 32&amp;64bit";"WinSEEDLE™ Reg 32&amp;64bit";"WinSEEDLE™ Pro 32&amp;64bit"},0))+
IF(ISNUMBER(SEARCH("STD4800",$B49)),IF(COLUMN(A$1)=1,PrixSTD+PrixRootPosiSTD,PrixSTD_Dist+PrixRPosiSTD_Dist),0)+
IF(ISNUMBER(SEARCH("LA2400",$B49)),IF(COLUMN(A$1)=1,PrixLA+PrixRootPosiLA,PrixLA_Dist+PrixRPosiPLA_Dist),0)+
IF(ISNUMBER(SEARCH(IF(Francais,"et LS","and SLS"),$B49)),IF(COLUMN(A$1)=1,PrixTPU,PrixTPU_Dist),0)+
IF(ISNUMBER(SEARCH(IF(Francais,"Sans Scanner (STD)","Without Scanner (STD)"),$B49)),IF(COLUMN(A$1)=1,(STD_GenCalib_Drivers_Instr_Techsup),(STD_GenCalib_Drivers_Instr_Techsup)*(1-RebateHardware)),0)+
IF(ISNUMBER(SEARCH(IF(Francais,"Sans Scanner (LA)","Without Scanner (LA)"),$B49)),IF(COLUMN(A$1)=1,(LA_GenCalib_Drivers_Instr_Techsup),(LA_GenCalib_Drivers_Instr_Techsup)*(1-RebateHardware)),0),
"")</f>
        <v>7376</v>
      </c>
    </row>
    <row r="50" spans="1:3" x14ac:dyDescent="0.2">
      <c r="A50" s="245"/>
      <c r="B50" t="s">
        <v>832</v>
      </c>
      <c r="C50" s="417">
        <f>IF(AND(ShowStaticListPrice,Checkbox_SansScanner),
N("PrixSoftware")+INDEX(SEEDLE_SoftwarePriceList,MATCH(LEFT($B50,FIND(" ",$B50,FIND(" ",$B50)+1))&amp;"*",{"WinSEEDLE™ Basic 32&amp;64bit";"WinSEEDLE™ Reg 32&amp;64bit";"WinSEEDLE™ Pro 32&amp;64bit"},0))+
IF(ISNUMBER(SEARCH("STD4800",$B50)),IF(COLUMN(A$1)=1,PrixSTD+PrixRootPosiSTD,PrixSTD_Dist+PrixRPosiSTD_Dist),0)+
IF(ISNUMBER(SEARCH("LA2400",$B50)),IF(COLUMN(A$1)=1,PrixLA+PrixRootPosiLA,PrixLA_Dist+PrixRPosiPLA_Dist),0)+
IF(ISNUMBER(SEARCH(IF(Francais,"et LS","and SLS"),$B50)),IF(COLUMN(A$1)=1,PrixTPU,PrixTPU_Dist),0)+
IF(ISNUMBER(SEARCH(IF(Francais,"Sans Scanner (STD)","Without Scanner (STD)"),$B50)),IF(COLUMN(A$1)=1,(STD_GenCalib_Drivers_Instr_Techsup),(STD_GenCalib_Drivers_Instr_Techsup)*(1-RebateHardware)),0)+
IF(ISNUMBER(SEARCH(IF(Francais,"Sans Scanner (LA)","Without Scanner (LA)"),$B50)),IF(COLUMN(A$1)=1,(LA_GenCalib_Drivers_Instr_Techsup),(LA_GenCalib_Drivers_Instr_Techsup)*(1-RebateHardware)),0),
"")</f>
        <v>2168</v>
      </c>
    </row>
    <row r="51" spans="1:3" x14ac:dyDescent="0.2">
      <c r="A51" s="245"/>
      <c r="B51" t="s">
        <v>833</v>
      </c>
      <c r="C51" s="417">
        <f>IF(AND(ShowStaticListPrice,Checkbox_SansScanner),
N("PrixSoftware")+INDEX(SEEDLE_SoftwarePriceList,MATCH(LEFT($B51,FIND(" ",$B51,FIND(" ",$B51)+1))&amp;"*",{"WinSEEDLE™ Basic 32&amp;64bit";"WinSEEDLE™ Reg 32&amp;64bit";"WinSEEDLE™ Pro 32&amp;64bit"},0))+
IF(ISNUMBER(SEARCH("STD4800",$B51)),IF(COLUMN(A$1)=1,PrixSTD+PrixRootPosiSTD,PrixSTD_Dist+PrixRPosiSTD_Dist),0)+
IF(ISNUMBER(SEARCH("LA2400",$B51)),IF(COLUMN(A$1)=1,PrixLA+PrixRootPosiLA,PrixLA_Dist+PrixRPosiPLA_Dist),0)+
IF(ISNUMBER(SEARCH(IF(Francais,"et LS","and SLS"),$B51)),IF(COLUMN(A$1)=1,PrixTPU,PrixTPU_Dist),0)+
IF(ISNUMBER(SEARCH(IF(Francais,"Sans Scanner (STD)","Without Scanner (STD)"),$B51)),IF(COLUMN(A$1)=1,(STD_GenCalib_Drivers_Instr_Techsup),(STD_GenCalib_Drivers_Instr_Techsup)*(1-RebateHardware)),0)+
IF(ISNUMBER(SEARCH(IF(Francais,"Sans Scanner (LA)","Without Scanner (LA)"),$B51)),IF(COLUMN(A$1)=1,(LA_GenCalib_Drivers_Instr_Techsup),(LA_GenCalib_Drivers_Instr_Techsup)*(1-RebateHardware)),0),
"")</f>
        <v>2168</v>
      </c>
    </row>
    <row r="52" spans="1:3" x14ac:dyDescent="0.2">
      <c r="A52" s="245"/>
      <c r="B52" t="s">
        <v>834</v>
      </c>
      <c r="C52" s="417">
        <f>IF(AND(ShowStaticListPrice,Checkbox_WithScan),
N("PrixSoftware")+INDEX(SEEDLE_SoftwarePriceList,MATCH(LEFT($B52,FIND(" ",$B52,FIND(" ",$B52)+1))&amp;"*",{"WinSEEDLE™ Basic 32&amp;64bit";"WinSEEDLE™ Reg 32&amp;64bit";"WinSEEDLE™ Pro 32&amp;64bit"},0))+
IF(ISNUMBER(SEARCH("STD4800",$B52)),IF(COLUMN(A$1)=1,PrixSTD+PrixRootPosiSTD,PrixSTD_Dist+PrixRPosiSTD_Dist),0)+
IF(ISNUMBER(SEARCH("LA2400",$B52)),IF(COLUMN(A$1)=1,PrixLA+PrixRootPosiLA,PrixLA_Dist+PrixRPosiPLA_Dist),0)+
IF(ISNUMBER(SEARCH(IF(Francais,"et LS","and SLS"),$B52)),IF(COLUMN(A$1)=1,PrixTPU,PrixTPU_Dist),0)+
IF(ISNUMBER(SEARCH(IF(Francais,"Sans Scanner (STD)","Without Scanner (STD)"),$B52)),IF(COLUMN(A$1)=1,(STD_GenCalib_Drivers_Instr_Techsup),(STD_GenCalib_Drivers_Instr_Techsup)*(1-RebateHardware)),0)+
IF(ISNUMBER(SEARCH(IF(Francais,"Sans Scanner (LA)","Without Scanner (LA)"),$B52)),IF(COLUMN(A$1)=1,(LA_GenCalib_Drivers_Instr_Techsup),(LA_GenCalib_Drivers_Instr_Techsup)*(1-RebateHardware)),0),
"")</f>
        <v>4882</v>
      </c>
    </row>
    <row r="53" spans="1:3" x14ac:dyDescent="0.2">
      <c r="A53" s="245"/>
      <c r="B53" t="s">
        <v>835</v>
      </c>
      <c r="C53" s="417">
        <f>IF(AND(ShowStaticListPrice,Checkbox_WithScan),
N("PrixSoftware")+INDEX(SEEDLE_SoftwarePriceList,MATCH(LEFT($B53,FIND(" ",$B53,FIND(" ",$B53)+1))&amp;"*",{"WinSEEDLE™ Basic 32&amp;64bit";"WinSEEDLE™ Reg 32&amp;64bit";"WinSEEDLE™ Pro 32&amp;64bit"},0))+
IF(ISNUMBER(SEARCH("STD4800",$B53)),IF(COLUMN(A$1)=1,PrixSTD+PrixRootPosiSTD,PrixSTD_Dist+PrixRPosiSTD_Dist),0)+
IF(ISNUMBER(SEARCH("LA2400",$B53)),IF(COLUMN(A$1)=1,PrixLA+PrixRootPosiLA,PrixLA_Dist+PrixRPosiPLA_Dist),0)+
IF(ISNUMBER(SEARCH(IF(Francais,"et LS","and SLS"),$B53)),IF(COLUMN(A$1)=1,PrixTPU,PrixTPU_Dist),0)+
IF(ISNUMBER(SEARCH(IF(Francais,"Sans Scanner (STD)","Without Scanner (STD)"),$B53)),IF(COLUMN(A$1)=1,(STD_GenCalib_Drivers_Instr_Techsup),(STD_GenCalib_Drivers_Instr_Techsup)*(1-RebateHardware)),0)+
IF(ISNUMBER(SEARCH(IF(Francais,"Sans Scanner (LA)","Without Scanner (LA)"),$B53)),IF(COLUMN(A$1)=1,(LA_GenCalib_Drivers_Instr_Techsup),(LA_GenCalib_Drivers_Instr_Techsup)*(1-RebateHardware)),0),
"")</f>
        <v>8685</v>
      </c>
    </row>
    <row r="54" spans="1:3" x14ac:dyDescent="0.2">
      <c r="A54" s="245"/>
      <c r="B54" t="s">
        <v>836</v>
      </c>
      <c r="C54" s="417">
        <f>IF(AND(ShowStaticListPrice,Checkbox_SansScanner),
N("PrixSoftware")+INDEX(SEEDLE_SoftwarePriceList,MATCH(LEFT($B54,FIND(" ",$B54,FIND(" ",$B54)+1))&amp;"*",{"WinSEEDLE™ Basic 32&amp;64bit";"WinSEEDLE™ Reg 32&amp;64bit";"WinSEEDLE™ Pro 32&amp;64bit"},0))+
IF(ISNUMBER(SEARCH("STD4800",$B54)),IF(COLUMN(A$1)=1,PrixSTD+PrixRootPosiSTD,PrixSTD_Dist+PrixRPosiSTD_Dist),0)+
IF(ISNUMBER(SEARCH("LA2400",$B54)),IF(COLUMN(A$1)=1,PrixLA+PrixRootPosiLA,PrixLA_Dist+PrixRPosiPLA_Dist),0)+
IF(ISNUMBER(SEARCH(IF(Francais,"et LS","and SLS"),$B54)),IF(COLUMN(A$1)=1,PrixTPU,PrixTPU_Dist),0)+
IF(ISNUMBER(SEARCH(IF(Francais,"Sans Scanner (STD)","Without Scanner (STD)"),$B54)),IF(COLUMN(A$1)=1,(STD_GenCalib_Drivers_Instr_Techsup),(STD_GenCalib_Drivers_Instr_Techsup)*(1-RebateHardware)),0)+
IF(ISNUMBER(SEARCH(IF(Francais,"Sans Scanner (LA)","Without Scanner (LA)"),$B54)),IF(COLUMN(A$1)=1,(LA_GenCalib_Drivers_Instr_Techsup),(LA_GenCalib_Drivers_Instr_Techsup)*(1-RebateHardware)),0),
"")</f>
        <v>3477</v>
      </c>
    </row>
    <row r="55" spans="1:3" x14ac:dyDescent="0.2">
      <c r="A55" s="245"/>
      <c r="B55" t="s">
        <v>837</v>
      </c>
      <c r="C55" s="417">
        <f>IF(AND(ShowStaticListPrice,Checkbox_SansScanner),
N("PrixSoftware")+INDEX(SEEDLE_SoftwarePriceList,MATCH(LEFT($B55,FIND(" ",$B55,FIND(" ",$B55)+1))&amp;"*",{"WinSEEDLE™ Basic 32&amp;64bit";"WinSEEDLE™ Reg 32&amp;64bit";"WinSEEDLE™ Pro 32&amp;64bit"},0))+
IF(ISNUMBER(SEARCH("STD4800",$B55)),IF(COLUMN(A$1)=1,PrixSTD+PrixRootPosiSTD,PrixSTD_Dist+PrixRPosiSTD_Dist),0)+
IF(ISNUMBER(SEARCH("LA2400",$B55)),IF(COLUMN(A$1)=1,PrixLA+PrixRootPosiLA,PrixLA_Dist+PrixRPosiPLA_Dist),0)+
IF(ISNUMBER(SEARCH(IF(Francais,"et LS","and SLS"),$B55)),IF(COLUMN(A$1)=1,PrixTPU,PrixTPU_Dist),0)+
IF(ISNUMBER(SEARCH(IF(Francais,"Sans Scanner (STD)","Without Scanner (STD)"),$B55)),IF(COLUMN(A$1)=1,(STD_GenCalib_Drivers_Instr_Techsup),(STD_GenCalib_Drivers_Instr_Techsup)*(1-RebateHardware)),0)+
IF(ISNUMBER(SEARCH(IF(Francais,"Sans Scanner (LA)","Without Scanner (LA)"),$B55)),IF(COLUMN(A$1)=1,(LA_GenCalib_Drivers_Instr_Techsup),(LA_GenCalib_Drivers_Instr_Techsup)*(1-RebateHardware)),0),
"")</f>
        <v>3477</v>
      </c>
    </row>
    <row r="56" spans="1:3" ht="17" x14ac:dyDescent="0.2">
      <c r="A56" s="245"/>
      <c r="B56" s="68" t="s">
        <v>838</v>
      </c>
      <c r="C56" s="417"/>
    </row>
    <row r="57" spans="1:3" x14ac:dyDescent="0.2">
      <c r="A57" s="212"/>
      <c r="B57" t="s">
        <v>839</v>
      </c>
      <c r="C57" s="417">
        <f>IF(ShowStaticListPrice,PrixTraySet2Small,"")</f>
        <v>133</v>
      </c>
    </row>
    <row r="58" spans="1:3" x14ac:dyDescent="0.2">
      <c r="A58" s="245"/>
      <c r="B58" t="s">
        <v>840</v>
      </c>
      <c r="C58" s="417">
        <f>IF(ShowStaticListPrice,PrixTraySet3Small,"")</f>
        <v>195</v>
      </c>
    </row>
    <row r="59" spans="1:3" x14ac:dyDescent="0.2">
      <c r="A59" s="212"/>
      <c r="B59" t="s">
        <v>841</v>
      </c>
      <c r="C59" s="417">
        <f>IF(ShowStaticListPrice,PrixTray10x15cm,"")</f>
        <v>61</v>
      </c>
    </row>
    <row r="60" spans="1:3" x14ac:dyDescent="0.2">
      <c r="A60" s="245"/>
      <c r="B60" t="s">
        <v>842</v>
      </c>
      <c r="C60" s="417">
        <f>IF(ShowStaticListPrice,PrixTray15x20cm,"")</f>
        <v>67</v>
      </c>
    </row>
    <row r="61" spans="1:3" x14ac:dyDescent="0.2">
      <c r="A61" s="212"/>
      <c r="B61" t="s">
        <v>843</v>
      </c>
      <c r="C61" s="417">
        <f>IF(ShowStaticListPrice,PrixTray20x25cm,"")</f>
        <v>73</v>
      </c>
    </row>
    <row r="62" spans="1:3" x14ac:dyDescent="0.2">
      <c r="A62" s="245"/>
      <c r="B62" t="s">
        <v>844</v>
      </c>
      <c r="C62" s="417">
        <f>IF(ShowStaticListPrice,PrixTraySet2MedLarge,"")</f>
        <v>193</v>
      </c>
    </row>
    <row r="63" spans="1:3" x14ac:dyDescent="0.2">
      <c r="A63" s="212"/>
      <c r="B63" t="s">
        <v>845</v>
      </c>
      <c r="C63" s="417">
        <f>IF(ShowStaticListPrice,PrixTraySet3MedLarge,"")</f>
        <v>273</v>
      </c>
    </row>
    <row r="64" spans="1:3" x14ac:dyDescent="0.2">
      <c r="A64" s="245"/>
      <c r="B64" t="s">
        <v>846</v>
      </c>
      <c r="C64" s="417">
        <f>IF(ShowStaticListPrice,PrixTraySet5SmallMedLarge,"")</f>
        <v>401</v>
      </c>
    </row>
    <row r="65" spans="1:3" x14ac:dyDescent="0.2">
      <c r="A65" s="212"/>
      <c r="B65" t="s">
        <v>847</v>
      </c>
      <c r="C65" s="417">
        <f>IF(ShowStaticListPrice,PrixTray20x30cm,"")</f>
        <v>78</v>
      </c>
    </row>
    <row r="66" spans="1:3" x14ac:dyDescent="0.2">
      <c r="A66" s="245"/>
      <c r="B66" t="s">
        <v>848</v>
      </c>
      <c r="C66" s="417">
        <f>IF(ShowStaticListPrice,PrixTray25x35cm,"")</f>
        <v>84</v>
      </c>
    </row>
    <row r="67" spans="1:3" x14ac:dyDescent="0.2">
      <c r="A67" s="212"/>
      <c r="B67" t="s">
        <v>849</v>
      </c>
      <c r="C67" s="417">
        <f>IF(ShowStaticListPrice,PrixTray30x40cm,"")</f>
        <v>106</v>
      </c>
    </row>
    <row r="68" spans="1:3" x14ac:dyDescent="0.2">
      <c r="A68" s="228"/>
      <c r="B68" s="228"/>
      <c r="C68" s="420"/>
    </row>
    <row r="69" spans="1:3" x14ac:dyDescent="0.2">
      <c r="A69" s="228"/>
      <c r="B69" t="s">
        <v>372</v>
      </c>
      <c r="C69" s="417">
        <f>IF(ShowStaticListPrice,Calc!A58,"")</f>
        <v>1184</v>
      </c>
    </row>
    <row r="70" spans="1:3" x14ac:dyDescent="0.2">
      <c r="A70" s="228"/>
      <c r="B70" t="s">
        <v>209</v>
      </c>
      <c r="C70" s="417">
        <f>IF(ShowStaticListPrice,Calc!A59,"")</f>
        <v>1665</v>
      </c>
    </row>
    <row r="71" spans="1:3" x14ac:dyDescent="0.2">
      <c r="A71" s="228"/>
      <c r="B71" t="s">
        <v>210</v>
      </c>
      <c r="C71" s="417">
        <f>IF(ShowStaticListPrice,Calc!A60,"")</f>
        <v>2540</v>
      </c>
    </row>
    <row r="72" spans="1:3" x14ac:dyDescent="0.2">
      <c r="A72" s="234"/>
      <c r="B72" s="421"/>
      <c r="C72" s="421"/>
    </row>
    <row r="73" spans="1:3" x14ac:dyDescent="0.2">
      <c r="A73" s="234"/>
      <c r="B73" t="s">
        <v>850</v>
      </c>
      <c r="C73" s="417">
        <f>IF(AND(ShowStaticListPrice,Checkbox_WithScan),
N("PrixSoftware")+INDEX(Calc!A$61:A$63,MATCH(LEFT($B73,FIND(" ",$B73,FIND(" ",$B73)+1))&amp;"*",{"WinFOLIA™ Basic 32&amp;64bit";"WinFOLIA™ Reg 32&amp;64bit";"WinFOLIA™ Pro 32&amp;64bit"},0))+
IF(ISNUMBER(SEARCH("STD4800",$B73)),IF(COLUMN(A$1)=1,PrixSTD+PrixBlBgSTD,PrixSTD_Dist+PrixBlBgSTD*(1-RebateHardware)),0)+
IF(ISNUMBER(SEARCH("LA2400",$B73)),IF(COLUMN(A$1)=1,PrixLA+PrixBlBgLA,PrixLA_Dist+PrixBlBgLA*(1-RebateHardware)),0)+
IF(ISNUMBER(SEARCH(IF(Francais,"et LS","and SLS"),$B73)),IF(COLUMN(A$1)=1,PrixTPU,PrixTPU_Dist),0)+
IF(ISNUMBER(SEARCH(IF(Francais,"Sans Scanner (STD)","Without Scanner (STD)"),$B73)),(STD_GenCalib_Drivers_Instr_Techsup+PrixBlBgSTD)*(1-RebateHardware*0),0)+
IF(ISNUMBER(SEARCH(IF(Francais,"Sans Scanner (LA)","Without Scanner (LA)"),$B73)),(LA_GenCalib_Drivers_Instr_Techsup+PrixBlBgLA)*(1-RebateHardware*0),0),
"")</f>
        <v>2576</v>
      </c>
    </row>
    <row r="74" spans="1:3" x14ac:dyDescent="0.2">
      <c r="A74" s="234"/>
      <c r="B74" t="s">
        <v>851</v>
      </c>
      <c r="C74" s="417">
        <f>IF(AND(ShowStaticListPrice,Checkbox_WithScan),
N("PrixSoftware")+INDEX(Calc!A$61:A$63,MATCH(LEFT($B74,FIND(" ",$B74,FIND(" ",$B74)+1))&amp;"*",{"WinFOLIA™ Basic 32&amp;64bit";"WinFOLIA™ Reg 32&amp;64bit";"WinFOLIA™ Pro 32&amp;64bit"},0))+
IF(ISNUMBER(SEARCH("STD4800",$B74)),IF(COLUMN(A$1)=1,PrixSTD+PrixBlBgSTD,PrixSTD_Dist+PrixBlBgSTD*(1-RebateHardware)),0)+
IF(ISNUMBER(SEARCH("LA2400",$B74)),IF(COLUMN(A$1)=1,PrixLA+PrixBlBgLA,PrixLA_Dist+PrixBlBgLA*(1-RebateHardware)),0)+
IF(ISNUMBER(SEARCH(IF(Francais,"et LS","and SLS"),$B74)),IF(COLUMN(A$1)=1,PrixTPU,PrixTPU_Dist),0)+
IF(ISNUMBER(SEARCH(IF(Francais,"Sans Scanner (STD)","Without Scanner (STD)"),$B74)),(STD_GenCalib_Drivers_Instr_Techsup+PrixBlBgSTD)*(1-RebateHardware*0),0)+
IF(ISNUMBER(SEARCH(IF(Francais,"Sans Scanner (LA)","Without Scanner (LA)"),$B74)),(LA_GenCalib_Drivers_Instr_Techsup+PrixBlBgLA)*(1-RebateHardware*0),0),
"")</f>
        <v>5361</v>
      </c>
    </row>
    <row r="75" spans="1:3" x14ac:dyDescent="0.2">
      <c r="A75" s="234"/>
      <c r="B75" t="s">
        <v>852</v>
      </c>
      <c r="C75" s="417">
        <f>IF(AND(ShowStaticListPrice,Checkbox_WithScan),
N("PrixSoftware")+INDEX(Calc!A$61:A$63,MATCH(LEFT($B75,FIND(" ",$B75,FIND(" ",$B75)+1))&amp;"*",{"WinFOLIA™ Basic 32&amp;64bit";"WinFOLIA™ Reg 32&amp;64bit";"WinFOLIA™ Pro 32&amp;64bit"},0))+
IF(ISNUMBER(SEARCH("STD4800",$B75)),IF(COLUMN(A$1)=1,PrixSTD+PrixBlBgSTD,PrixSTD_Dist+PrixBlBgSTD*(1-RebateHardware)),0)+
IF(ISNUMBER(SEARCH("LA2400",$B75)),IF(COLUMN(A$1)=1,PrixLA+PrixBlBgLA,PrixLA_Dist+PrixBlBgLA*(1-RebateHardware)),0)+
IF(ISNUMBER(SEARCH(IF(Francais,"et LS","and SLS"),$B75)),IF(COLUMN(A$1)=1,PrixTPU,PrixTPU_Dist),0)+
IF(ISNUMBER(SEARCH(IF(Francais,"Sans Scanner (STD)","Without Scanner (STD)"),$B75)),(STD_GenCalib_Drivers_Instr_Techsup+PrixBlBgSTD)*(1-RebateHardware*0),0)+
IF(ISNUMBER(SEARCH(IF(Francais,"Sans Scanner (LA)","Without Scanner (LA)"),$B75)),(LA_GenCalib_Drivers_Instr_Techsup+PrixBlBgLA)*(1-RebateHardware*0),0),
"")</f>
        <v>6132</v>
      </c>
    </row>
    <row r="76" spans="1:3" x14ac:dyDescent="0.2">
      <c r="A76" s="234"/>
      <c r="B76" t="s">
        <v>853</v>
      </c>
      <c r="C76" s="417">
        <f>IF(AND(ShowStaticListPrice,Checkbox_SansScanner),
N("PrixSoftware")+INDEX(Calc!A$61:A$63,MATCH(LEFT($B76,FIND(" ",$B76,FIND(" ",$B76)+1))&amp;"*",{"WinFOLIA™ Basic 32&amp;64bit";"WinFOLIA™ Reg 32&amp;64bit";"WinFOLIA™ Pro 32&amp;64bit"},0))+
IF(ISNUMBER(SEARCH("STD4800",$B76)),IF(COLUMN(A$1)=1,PrixSTD+PrixBlBgSTD,PrixSTD_Dist+PrixBlBgSTD*(1-RebateHardware)),0)+
IF(ISNUMBER(SEARCH("LA2400",$B76)),IF(COLUMN(A$1)=1,PrixLA+PrixBlBgLA,PrixLA_Dist+PrixBlBgLA*(1-RebateHardware)),0)+
IF(ISNUMBER(SEARCH(IF(Francais,"et LS","and SLS"),$B76)),IF(COLUMN(A$1)=1,PrixTPU,PrixTPU_Dist),0)+
IF(ISNUMBER(SEARCH(IF(Francais,"Sans Scanner (STD)","Without Scanner (STD)"),$B76)),(STD_GenCalib_Drivers_Instr_Techsup+PrixBlBgSTD)*(1-RebateHardware*0),0)+
IF(ISNUMBER(SEARCH(IF(Francais,"Sans Scanner (LA)","Without Scanner (LA)"),$B76)),(LA_GenCalib_Drivers_Instr_Techsup+PrixBlBgLA)*(1-RebateHardware*0),0),
"")</f>
        <v>1447</v>
      </c>
    </row>
    <row r="77" spans="1:3" x14ac:dyDescent="0.2">
      <c r="A77" s="234"/>
      <c r="B77" t="s">
        <v>854</v>
      </c>
      <c r="C77" s="417">
        <f>IF(AND(ShowStaticListPrice,Checkbox_SansScanner),
N("PrixSoftware")+INDEX(Calc!A$61:A$63,MATCH(LEFT($B77,FIND(" ",$B77,FIND(" ",$B77)+1))&amp;"*",{"WinFOLIA™ Basic 32&amp;64bit";"WinFOLIA™ Reg 32&amp;64bit";"WinFOLIA™ Pro 32&amp;64bit"},0))+
IF(ISNUMBER(SEARCH("STD4800",$B77)),IF(COLUMN(A$1)=1,PrixSTD+PrixBlBgSTD,PrixSTD_Dist+PrixBlBgSTD*(1-RebateHardware)),0)+
IF(ISNUMBER(SEARCH("LA2400",$B77)),IF(COLUMN(A$1)=1,PrixLA+PrixBlBgLA,PrixLA_Dist+PrixBlBgLA*(1-RebateHardware)),0)+
IF(ISNUMBER(SEARCH(IF(Francais,"et LS","and SLS"),$B77)),IF(COLUMN(A$1)=1,PrixTPU,PrixTPU_Dist),0)+
IF(ISNUMBER(SEARCH(IF(Francais,"Sans Scanner (STD)","Without Scanner (STD)"),$B77)),(STD_GenCalib_Drivers_Instr_Techsup+PrixBlBgSTD)*(1-RebateHardware*0),0)+
IF(ISNUMBER(SEARCH(IF(Francais,"Sans Scanner (LA)","Without Scanner (LA)"),$B77)),(LA_GenCalib_Drivers_Instr_Techsup+PrixBlBgLA)*(1-RebateHardware*0),0),
"")</f>
        <v>1469</v>
      </c>
    </row>
    <row r="78" spans="1:3" x14ac:dyDescent="0.2">
      <c r="A78" s="234"/>
      <c r="B78" t="s">
        <v>855</v>
      </c>
      <c r="C78" s="417">
        <f>IF(AND(ShowStaticListPrice,Checkbox_WithScan),
N("PrixSoftware")+INDEX(Calc!A$61:A$63,MATCH(LEFT($B78,FIND(" ",$B78,FIND(" ",$B78)+1))&amp;"*",{"WinFOLIA™ Basic 32&amp;64bit";"WinFOLIA™ Reg 32&amp;64bit";"WinFOLIA™ Pro 32&amp;64bit"},0))+
IF(ISNUMBER(SEARCH("STD4800",$B78)),IF(COLUMN(A$1)=1,PrixSTD+PrixBlBgSTD,PrixSTD_Dist+PrixBlBgSTD*(1-RebateHardware)),0)+
IF(ISNUMBER(SEARCH("LA2400",$B78)),IF(COLUMN(A$1)=1,PrixLA+PrixBlBgLA,PrixLA_Dist+PrixBlBgLA*(1-RebateHardware)),0)+
IF(ISNUMBER(SEARCH(IF(Francais,"et LS","and SLS"),$B78)),IF(COLUMN(A$1)=1,PrixTPU,PrixTPU_Dist),0)+
IF(ISNUMBER(SEARCH(IF(Francais,"Sans Scanner (STD)","Without Scanner (STD)"),$B78)),(STD_GenCalib_Drivers_Instr_Techsup+PrixBlBgSTD)*(1-RebateHardware*0),0)+
IF(ISNUMBER(SEARCH(IF(Francais,"Sans Scanner (LA)","Without Scanner (LA)"),$B78)),(LA_GenCalib_Drivers_Instr_Techsup+PrixBlBgLA)*(1-RebateHardware*0),0),
"")</f>
        <v>3382</v>
      </c>
    </row>
    <row r="79" spans="1:3" x14ac:dyDescent="0.2">
      <c r="A79" s="234"/>
      <c r="B79" t="s">
        <v>856</v>
      </c>
      <c r="C79" s="417">
        <f>IF(AND(ShowStaticListPrice,Checkbox_WithScan),
N("PrixSoftware")+INDEX(Calc!A$61:A$63,MATCH(LEFT($B79,FIND(" ",$B79,FIND(" ",$B79)+1))&amp;"*",{"WinFOLIA™ Basic 32&amp;64bit";"WinFOLIA™ Reg 32&amp;64bit";"WinFOLIA™ Pro 32&amp;64bit"},0))+
IF(ISNUMBER(SEARCH("STD4800",$B79)),IF(COLUMN(A$1)=1,PrixSTD+PrixBlBgSTD,PrixSTD_Dist+PrixBlBgSTD*(1-RebateHardware)),0)+
IF(ISNUMBER(SEARCH("LA2400",$B79)),IF(COLUMN(A$1)=1,PrixLA+PrixBlBgLA,PrixLA_Dist+PrixBlBgLA*(1-RebateHardware)),0)+
IF(ISNUMBER(SEARCH(IF(Francais,"et LS","and SLS"),$B79)),IF(COLUMN(A$1)=1,PrixTPU,PrixTPU_Dist),0)+
IF(ISNUMBER(SEARCH(IF(Francais,"Sans Scanner (STD)","Without Scanner (STD)"),$B79)),(STD_GenCalib_Drivers_Instr_Techsup+PrixBlBgSTD)*(1-RebateHardware*0),0)+
IF(ISNUMBER(SEARCH(IF(Francais,"Sans Scanner (LA)","Without Scanner (LA)"),$B79)),(LA_GenCalib_Drivers_Instr_Techsup+PrixBlBgLA)*(1-RebateHardware*0),0),
"")</f>
        <v>6167</v>
      </c>
    </row>
    <row r="80" spans="1:3" x14ac:dyDescent="0.2">
      <c r="A80" s="234"/>
      <c r="B80" t="s">
        <v>857</v>
      </c>
      <c r="C80" s="417">
        <f>IF(AND(ShowStaticListPrice,Checkbox_WithScan),
N("PrixSoftware")+INDEX(Calc!A$61:A$63,MATCH(LEFT($B80,FIND(" ",$B80,FIND(" ",$B80)+1))&amp;"*",{"WinFOLIA™ Basic 32&amp;64bit";"WinFOLIA™ Reg 32&amp;64bit";"WinFOLIA™ Pro 32&amp;64bit"},0))+
IF(ISNUMBER(SEARCH("STD4800",$B80)),IF(COLUMN(A$1)=1,PrixSTD+PrixBlBgSTD,PrixSTD_Dist+PrixBlBgSTD*(1-RebateHardware)),0)+
IF(ISNUMBER(SEARCH("LA2400",$B80)),IF(COLUMN(A$1)=1,PrixLA+PrixBlBgLA,PrixLA_Dist+PrixBlBgLA*(1-RebateHardware)),0)+
IF(ISNUMBER(SEARCH(IF(Francais,"et LS","and SLS"),$B80)),IF(COLUMN(A$1)=1,PrixTPU,PrixTPU_Dist),0)+
IF(ISNUMBER(SEARCH(IF(Francais,"Sans Scanner (STD)","Without Scanner (STD)"),$B80)),(STD_GenCalib_Drivers_Instr_Techsup+PrixBlBgSTD)*(1-RebateHardware*0),0)+
IF(ISNUMBER(SEARCH(IF(Francais,"Sans Scanner (LA)","Without Scanner (LA)"),$B80)),(LA_GenCalib_Drivers_Instr_Techsup+PrixBlBgLA)*(1-RebateHardware*0),0),
"")</f>
        <v>6938</v>
      </c>
    </row>
    <row r="81" spans="1:3" x14ac:dyDescent="0.2">
      <c r="A81" s="234"/>
      <c r="B81" t="s">
        <v>858</v>
      </c>
      <c r="C81" s="417">
        <f>IF(AND(ShowStaticListPrice,Checkbox_SansScanner),
N("PrixSoftware")+INDEX(Calc!A$61:A$63,MATCH(LEFT($B81,FIND(" ",$B81,FIND(" ",$B81)+1))&amp;"*",{"WinFOLIA™ Basic 32&amp;64bit";"WinFOLIA™ Reg 32&amp;64bit";"WinFOLIA™ Pro 32&amp;64bit"},0))+
IF(ISNUMBER(SEARCH("STD4800",$B81)),IF(COLUMN(A$1)=1,PrixSTD+PrixBlBgSTD,PrixSTD_Dist+PrixBlBgSTD*(1-RebateHardware)),0)+
IF(ISNUMBER(SEARCH("LA2400",$B81)),IF(COLUMN(A$1)=1,PrixLA+PrixBlBgLA,PrixLA_Dist+PrixBlBgLA*(1-RebateHardware)),0)+
IF(ISNUMBER(SEARCH(IF(Francais,"et LS","and SLS"),$B81)),IF(COLUMN(A$1)=1,PrixTPU,PrixTPU_Dist),0)+
IF(ISNUMBER(SEARCH(IF(Francais,"Sans Scanner (STD)","Without Scanner (STD)"),$B81)),(STD_GenCalib_Drivers_Instr_Techsup+PrixBlBgSTD)*(1-RebateHardware*0),0)+
IF(ISNUMBER(SEARCH(IF(Francais,"Sans Scanner (LA)","Without Scanner (LA)"),$B81)),(LA_GenCalib_Drivers_Instr_Techsup+PrixBlBgLA)*(1-RebateHardware*0),0),
"")</f>
        <v>2253</v>
      </c>
    </row>
    <row r="82" spans="1:3" x14ac:dyDescent="0.2">
      <c r="A82" s="234"/>
      <c r="B82" t="s">
        <v>859</v>
      </c>
      <c r="C82" s="417">
        <f>IF(AND(ShowStaticListPrice,Checkbox_SansScanner),
N("PrixSoftware")+INDEX(Calc!A$61:A$63,MATCH(LEFT($B82,FIND(" ",$B82,FIND(" ",$B82)+1))&amp;"*",{"WinFOLIA™ Basic 32&amp;64bit";"WinFOLIA™ Reg 32&amp;64bit";"WinFOLIA™ Pro 32&amp;64bit"},0))+
IF(ISNUMBER(SEARCH("STD4800",$B82)),IF(COLUMN(A$1)=1,PrixSTD+PrixBlBgSTD,PrixSTD_Dist+PrixBlBgSTD*(1-RebateHardware)),0)+
IF(ISNUMBER(SEARCH("LA2400",$B82)),IF(COLUMN(A$1)=1,PrixLA+PrixBlBgLA,PrixLA_Dist+PrixBlBgLA*(1-RebateHardware)),0)+
IF(ISNUMBER(SEARCH(IF(Francais,"et LS","and SLS"),$B82)),IF(COLUMN(A$1)=1,PrixTPU,PrixTPU_Dist),0)+
IF(ISNUMBER(SEARCH(IF(Francais,"Sans Scanner (STD)","Without Scanner (STD)"),$B82)),(STD_GenCalib_Drivers_Instr_Techsup+PrixBlBgSTD)*(1-RebateHardware*0),0)+
IF(ISNUMBER(SEARCH(IF(Francais,"Sans Scanner (LA)","Without Scanner (LA)"),$B82)),(LA_GenCalib_Drivers_Instr_Techsup+PrixBlBgLA)*(1-RebateHardware*0),0),
"")</f>
        <v>2275</v>
      </c>
    </row>
    <row r="83" spans="1:3" x14ac:dyDescent="0.2">
      <c r="A83" s="234"/>
      <c r="B83" t="s">
        <v>860</v>
      </c>
      <c r="C83" s="417">
        <f>IF(AND(ShowStaticListPrice,Checkbox_WithScan),
N("PrixSoftware")+INDEX(Calc!A$61:A$63,MATCH(LEFT($B83,FIND(" ",$B83,FIND(" ",$B83)+1))&amp;"*",{"WinFOLIA™ Basic 32&amp;64bit";"WinFOLIA™ Reg 32&amp;64bit";"WinFOLIA™ Pro 32&amp;64bit"},0))+
IF(ISNUMBER(SEARCH("STD4800",$B83)),IF(COLUMN(A$1)=1,PrixSTD+PrixBlBgSTD,PrixSTD_Dist+PrixBlBgSTD*(1-RebateHardware)),0)+
IF(ISNUMBER(SEARCH("LA2400",$B83)),IF(COLUMN(A$1)=1,PrixLA+PrixBlBgLA,PrixLA_Dist+PrixBlBgLA*(1-RebateHardware)),0)+
IF(ISNUMBER(SEARCH(IF(Francais,"et LS","and SLS"),$B83)),IF(COLUMN(A$1)=1,PrixTPU,PrixTPU_Dist),0)+
IF(ISNUMBER(SEARCH(IF(Francais,"Sans Scanner (STD)","Without Scanner (STD)"),$B83)),(STD_GenCalib_Drivers_Instr_Techsup+PrixBlBgSTD)*(1-RebateHardware*0),0)+
IF(ISNUMBER(SEARCH(IF(Francais,"Sans Scanner (LA)","Without Scanner (LA)"),$B83)),(LA_GenCalib_Drivers_Instr_Techsup+PrixBlBgLA)*(1-RebateHardware*0),0),
"")</f>
        <v>4988</v>
      </c>
    </row>
    <row r="84" spans="1:3" x14ac:dyDescent="0.2">
      <c r="A84" s="234"/>
      <c r="B84" t="s">
        <v>861</v>
      </c>
      <c r="C84" s="417">
        <f>IF(AND(ShowStaticListPrice,Checkbox_WithScan),
N("PrixSoftware")+INDEX(Calc!A$61:A$63,MATCH(LEFT($B84,FIND(" ",$B84,FIND(" ",$B84)+1))&amp;"*",{"WinFOLIA™ Basic 32&amp;64bit";"WinFOLIA™ Reg 32&amp;64bit";"WinFOLIA™ Pro 32&amp;64bit"},0))+
IF(ISNUMBER(SEARCH("STD4800",$B84)),IF(COLUMN(A$1)=1,PrixSTD+PrixBlBgSTD,PrixSTD_Dist+PrixBlBgSTD*(1-RebateHardware)),0)+
IF(ISNUMBER(SEARCH("LA2400",$B84)),IF(COLUMN(A$1)=1,PrixLA+PrixBlBgLA,PrixLA_Dist+PrixBlBgLA*(1-RebateHardware)),0)+
IF(ISNUMBER(SEARCH(IF(Francais,"et LS","and SLS"),$B84)),IF(COLUMN(A$1)=1,PrixTPU,PrixTPU_Dist),0)+
IF(ISNUMBER(SEARCH(IF(Francais,"Sans Scanner (STD)","Without Scanner (STD)"),$B84)),(STD_GenCalib_Drivers_Instr_Techsup+PrixBlBgSTD)*(1-RebateHardware*0),0)+
IF(ISNUMBER(SEARCH(IF(Francais,"Sans Scanner (LA)","Without Scanner (LA)"),$B84)),(LA_GenCalib_Drivers_Instr_Techsup+PrixBlBgLA)*(1-RebateHardware*0),0),
"")</f>
        <v>7773</v>
      </c>
    </row>
    <row r="85" spans="1:3" x14ac:dyDescent="0.2">
      <c r="A85" s="234"/>
      <c r="B85" t="s">
        <v>862</v>
      </c>
      <c r="C85" s="417">
        <f>IF(AND(ShowStaticListPrice,Checkbox_WithScan),
N("PrixSoftware")+INDEX(Calc!A$61:A$63,MATCH(LEFT($B85,FIND(" ",$B85,FIND(" ",$B85)+1))&amp;"*",{"WinFOLIA™ Basic 32&amp;64bit";"WinFOLIA™ Reg 32&amp;64bit";"WinFOLIA™ Pro 32&amp;64bit"},0))+
IF(ISNUMBER(SEARCH("STD4800",$B85)),IF(COLUMN(A$1)=1,PrixSTD+PrixBlBgSTD,PrixSTD_Dist+PrixBlBgSTD*(1-RebateHardware)),0)+
IF(ISNUMBER(SEARCH("LA2400",$B85)),IF(COLUMN(A$1)=1,PrixLA+PrixBlBgLA,PrixLA_Dist+PrixBlBgLA*(1-RebateHardware)),0)+
IF(ISNUMBER(SEARCH(IF(Francais,"et LS","and SLS"),$B85)),IF(COLUMN(A$1)=1,PrixTPU,PrixTPU_Dist),0)+
IF(ISNUMBER(SEARCH(IF(Francais,"Sans Scanner (STD)","Without Scanner (STD)"),$B85)),(STD_GenCalib_Drivers_Instr_Techsup+PrixBlBgSTD)*(1-RebateHardware*0),0)+
IF(ISNUMBER(SEARCH(IF(Francais,"Sans Scanner (LA)","Without Scanner (LA)"),$B85)),(LA_GenCalib_Drivers_Instr_Techsup+PrixBlBgLA)*(1-RebateHardware*0),0),
"")</f>
        <v>8544</v>
      </c>
    </row>
    <row r="86" spans="1:3" x14ac:dyDescent="0.2">
      <c r="A86" s="234"/>
      <c r="B86" t="s">
        <v>863</v>
      </c>
      <c r="C86" s="417">
        <f>IF(AND(ShowStaticListPrice,Checkbox_SansScanner),
N("PrixSoftware")+INDEX(Calc!A$61:A$63,MATCH(LEFT($B86,FIND(" ",$B86,FIND(" ",$B86)+1))&amp;"*",{"WinFOLIA™ Basic 32&amp;64bit";"WinFOLIA™ Reg 32&amp;64bit";"WinFOLIA™ Pro 32&amp;64bit"},0))+
IF(ISNUMBER(SEARCH("STD4800",$B86)),IF(COLUMN(A$1)=1,PrixSTD+PrixBlBgSTD,PrixSTD_Dist+PrixBlBgSTD*(1-RebateHardware)),0)+
IF(ISNUMBER(SEARCH("LA2400",$B86)),IF(COLUMN(A$1)=1,PrixLA+PrixBlBgLA,PrixLA_Dist+PrixBlBgLA*(1-RebateHardware)),0)+
IF(ISNUMBER(SEARCH(IF(Francais,"et LS","and SLS"),$B86)),IF(COLUMN(A$1)=1,PrixTPU,PrixTPU_Dist),0)+
IF(ISNUMBER(SEARCH(IF(Francais,"Sans Scanner (STD)","Without Scanner (STD)"),$B86)),(STD_GenCalib_Drivers_Instr_Techsup+PrixBlBgSTD)*(1-RebateHardware*0),0)+
IF(ISNUMBER(SEARCH(IF(Francais,"Sans Scanner (LA)","Without Scanner (LA)"),$B86)),(LA_GenCalib_Drivers_Instr_Techsup+PrixBlBgLA)*(1-RebateHardware*0),0),
"")</f>
        <v>3859</v>
      </c>
    </row>
    <row r="87" spans="1:3" x14ac:dyDescent="0.2">
      <c r="A87" s="234"/>
      <c r="B87" t="s">
        <v>864</v>
      </c>
      <c r="C87" s="417">
        <f>IF(AND(ShowStaticListPrice,Checkbox_SansScanner),
N("PrixSoftware")+INDEX(Calc!A$61:A$63,MATCH(LEFT($B87,FIND(" ",$B87,FIND(" ",$B87)+1))&amp;"*",{"WinFOLIA™ Basic 32&amp;64bit";"WinFOLIA™ Reg 32&amp;64bit";"WinFOLIA™ Pro 32&amp;64bit"},0))+
IF(ISNUMBER(SEARCH("STD4800",$B87)),IF(COLUMN(A$1)=1,PrixSTD+PrixBlBgSTD,PrixSTD_Dist+PrixBlBgSTD*(1-RebateHardware)),0)+
IF(ISNUMBER(SEARCH("LA2400",$B87)),IF(COLUMN(A$1)=1,PrixLA+PrixBlBgLA,PrixLA_Dist+PrixBlBgLA*(1-RebateHardware)),0)+
IF(ISNUMBER(SEARCH(IF(Francais,"et LS","and SLS"),$B87)),IF(COLUMN(A$1)=1,PrixTPU,PrixTPU_Dist),0)+
IF(ISNUMBER(SEARCH(IF(Francais,"Sans Scanner (STD)","Without Scanner (STD)"),$B87)),(STD_GenCalib_Drivers_Instr_Techsup+PrixBlBgSTD)*(1-RebateHardware*0),0)+
IF(ISNUMBER(SEARCH(IF(Francais,"Sans Scanner (LA)","Without Scanner (LA)"),$B87)),(LA_GenCalib_Drivers_Instr_Techsup+PrixBlBgLA)*(1-RebateHardware*0),0),
"")</f>
        <v>3881</v>
      </c>
    </row>
    <row r="88" spans="1:3" x14ac:dyDescent="0.2">
      <c r="A88" s="234"/>
      <c r="B88" t="s">
        <v>865</v>
      </c>
      <c r="C88" s="417">
        <f>IF(AND(ShowStaticListPrice,Checkbox_WithScan),
N("PrixSoftware")+INDEX(Calc!A$61:A$63,MATCH(LEFT($B88,FIND(" ",$B88,FIND(" ",$B88)+1))&amp;"*",{"WinFOLIA™ Basic 32&amp;64bit";"WinFOLIA™ Reg 32&amp;64bit";"WinFOLIA™ Pro 32&amp;64bit"},0))+
+PrixLC+PrixBlBgLC,
"")</f>
        <v>1494</v>
      </c>
    </row>
    <row r="89" spans="1:3" x14ac:dyDescent="0.2">
      <c r="A89" s="234"/>
      <c r="B89" t="s">
        <v>866</v>
      </c>
      <c r="C89" s="417">
        <f>IF(AND(ShowStaticListPrice,Checkbox_WithScan),
N("PrixSoftware")+INDEX(Calc!A$61:A$63,MATCH(LEFT($B89,FIND(" ",$B89,FIND(" ",$B89)+1))&amp;"*",{"WinFOLIA™ Basic 32&amp;64bit";"WinFOLIA™ Reg 32&amp;64bit";"WinFOLIA™ Pro 32&amp;64bit"},0))+
+PrixLC+PrixBlBgLC,
"")</f>
        <v>2300</v>
      </c>
    </row>
    <row r="90" spans="1:3" x14ac:dyDescent="0.2">
      <c r="A90" s="234"/>
      <c r="B90" t="s">
        <v>867</v>
      </c>
      <c r="C90" s="417">
        <f>IF(AND(ShowStaticListPrice,Checkbox_WithScan),
N("PrixSoftware")+INDEX(Calc!A$61:A$63,MATCH(LEFT($B90,FIND(" ",$B90,FIND(" ",$B90)+1))&amp;"*",{"WinFOLIA™ Basic 32&amp;64bit";"WinFOLIA™ Reg 32&amp;64bit";"WinFOLIA™ Pro 32&amp;64bit"},0))+
+PrixLC+PrixBlBgLC,
"")</f>
        <v>3906</v>
      </c>
    </row>
    <row r="91" spans="1:3" x14ac:dyDescent="0.2">
      <c r="A91" s="423"/>
      <c r="B91" s="423"/>
      <c r="C91" s="423"/>
    </row>
    <row r="92" spans="1:3" x14ac:dyDescent="0.2">
      <c r="A92" s="423"/>
      <c r="B92" t="s">
        <v>374</v>
      </c>
      <c r="C92" s="417">
        <f>IF(ShowStaticListPrice,Calc!A67,"")</f>
        <v>1294</v>
      </c>
    </row>
    <row r="93" spans="1:3" x14ac:dyDescent="0.2">
      <c r="A93" s="423"/>
      <c r="B93" t="s">
        <v>375</v>
      </c>
      <c r="C93" s="417">
        <f>IF(ShowStaticListPrice,Calc!A68,"")</f>
        <v>1739</v>
      </c>
    </row>
    <row r="94" spans="1:3" x14ac:dyDescent="0.2">
      <c r="A94" s="423"/>
      <c r="B94" t="s">
        <v>221</v>
      </c>
      <c r="C94" s="417">
        <f>IF(ShowStaticListPrice,Calc!A69,"")</f>
        <v>2626</v>
      </c>
    </row>
    <row r="95" spans="1:3" x14ac:dyDescent="0.2">
      <c r="A95" s="423"/>
      <c r="B95" t="s">
        <v>871</v>
      </c>
      <c r="C95" s="417">
        <f>IF(AND(ShowStaticListPrice,Checkbox_WithScan),
N("PrixSoftware")+INDEX(CAM_SoftwarePriceList,MATCH(LEFT($B95,FIND(" ",$B95,FIND(" ",$B95)+6))&amp;"*",{"WinCAM™ NDVI Basic 32&amp;64bit";"WinCAM™ NDVI Reg 32&amp;64bit";"WinCAM™ NDVI Pro 32&amp;64bit"},0))+
IF(ISNUMBER(SEARCH("STD4800",$B95)),IF(COLUMN(A$1)=1,PrixSTD+PrixBlBgSTD,PrixSTD_Dist+PrixBlBgSTD*(1-RebateHardware)),0)+
IF(ISNUMBER(SEARCH("LA2400",$B95)),IF(COLUMN(A$1)=1,PrixLA+PrixBlBgLA,PrixLA_Dist+PrixBlBgLA*(1-RebateHardware)),0)+
IF(ISNUMBER(SEARCH(IF(Francais,"et LS","and SLS"),$B95)),IF(COLUMN(A$1)=1,PrixTPU,PrixTPU_Dist),0)+
IF(ISNUMBER(SEARCH(IF(Francais,"Sans Scanner (STD)","Without Scanner (STD)"),$B95)),(STD_GenCalib_Drivers_Instr_Techsup+PrixBlBgSTD)*(1-RebateHardware*0),0)+
IF(ISNUMBER(SEARCH(IF(Francais,"Sans Scanner (LA)","Without Scanner (LA)"),$B95)),(LA_GenCalib_Drivers_Instr_Techsup+PrixBlBgLA)*(1-RebateHardware*0),0),
"")</f>
        <v>2597</v>
      </c>
    </row>
    <row r="96" spans="1:3" x14ac:dyDescent="0.2">
      <c r="A96" s="423"/>
      <c r="B96" t="s">
        <v>872</v>
      </c>
      <c r="C96" s="417">
        <f>IF(AND(ShowStaticListPrice,Checkbox_WithScan),
N("PrixSoftware")+INDEX(CAM_SoftwarePriceList,MATCH(LEFT($B96,FIND(" ",$B96,FIND(" ",$B96)+1))&amp;"*",{"WinCAM™ NDVI Basic 32&amp;64bit";"WinCAM™ NDVI Reg 32&amp;64bit";"WinCAM™ NDVI Pro 32&amp;64bit"},0))+
IF(ISNUMBER(SEARCH("STD4800",$B96)),IF(COLUMN(A$1)=1,PrixSTD+PrixBlBgSTD,PrixSTD_Dist+PrixBlBgSTD*(1-RebateHardware)),0)+
IF(ISNUMBER(SEARCH("LA2400",$B96)),IF(COLUMN(A$1)=1,PrixLA+PrixBlBgLA,PrixLA_Dist+PrixBlBgLA*(1-RebateHardware)),0)+
IF(ISNUMBER(SEARCH(IF(Francais,"et LS","and SLS"),$B96)),IF(COLUMN(A$1)=1,PrixTPU,PrixTPU_Dist),0)+
IF(ISNUMBER(SEARCH(IF(Francais,"Sans Scanner (STD)","Without Scanner (STD)"),$B96)),(STD_GenCalib_Drivers_Instr_Techsup+PrixBlBgSTD)*(1-RebateHardware*0),0)+
IF(ISNUMBER(SEARCH(IF(Francais,"Sans Scanner (LA)","Without Scanner (LA)"),$B96)),(LA_GenCalib_Drivers_Instr_Techsup+PrixBlBgLA)*(1-RebateHardware*0),0),
"")</f>
        <v>5382</v>
      </c>
    </row>
    <row r="97" spans="1:3" x14ac:dyDescent="0.2">
      <c r="A97" s="423"/>
      <c r="B97" t="s">
        <v>873</v>
      </c>
      <c r="C97" s="417">
        <f>IF(AND(ShowStaticListPrice,Checkbox_WithScan),
N("PrixSoftware")+INDEX(CAM_SoftwarePriceList,MATCH(LEFT($B97,FIND(" ",$B97,FIND(" ",$B97)+1))&amp;"*",{"WinCAM™ NDVI Basic 32&amp;64bit";"WinCAM™ NDVI Reg 32&amp;64bit";"WinCAM™ NDVI Pro 32&amp;64bit"},0))+
IF(ISNUMBER(SEARCH("STD4800",$B97)),IF(COLUMN(A$1)=1,PrixSTD+PrixBlBgSTD,PrixSTD_Dist+PrixBlBgSTD*(1-RebateHardware)),0)+
IF(ISNUMBER(SEARCH("LA2400",$B97)),IF(COLUMN(A$1)=1,PrixLA+PrixBlBgLA,PrixLA_Dist+PrixBlBgLA*(1-RebateHardware)),0)+
IF(ISNUMBER(SEARCH(IF(Francais,"et LS","and SLS"),$B97)),IF(COLUMN(A$1)=1,PrixTPU,PrixTPU_Dist),0)+
IF(ISNUMBER(SEARCH(IF(Francais,"Sans Scanner (STD)","Without Scanner (STD)"),$B97)),(STD_GenCalib_Drivers_Instr_Techsup+PrixBlBgSTD)*(1-RebateHardware*0),0)+
IF(ISNUMBER(SEARCH(IF(Francais,"Sans Scanner (LA)","Without Scanner (LA)"),$B97)),(LA_GenCalib_Drivers_Instr_Techsup+PrixBlBgLA)*(1-RebateHardware*0),0),
"")</f>
        <v>6153</v>
      </c>
    </row>
    <row r="98" spans="1:3" x14ac:dyDescent="0.2">
      <c r="A98" s="423"/>
      <c r="B98" t="s">
        <v>874</v>
      </c>
      <c r="C98" s="417">
        <f>IF(AND(ShowStaticListPrice,Checkbox_SansScanner),
N("PrixSoftware")+INDEX(CAM_SoftwarePriceList,MATCH(LEFT($B98,FIND(" ",$B98,FIND(" ",$B98)+1))&amp;"*",{"WinCAM™ NDVI Basic 32&amp;64bit";"WinCAM™ NDVI Reg 32&amp;64bit";"WinCAM™ NDVI Pro 32&amp;64bit"},0))+
IF(ISNUMBER(SEARCH("STD4800",$B98)),IF(COLUMN(A$1)=1,PrixSTD+PrixBlBgSTD,PrixSTD_Dist+PrixBlBgSTD*(1-RebateHardware)),0)+
IF(ISNUMBER(SEARCH("LA2400",$B98)),IF(COLUMN(A$1)=1,PrixLA+PrixBlBgLA,PrixLA_Dist+PrixBlBgLA*(1-RebateHardware)),0)+
IF(ISNUMBER(SEARCH(IF(Francais,"et LS","and SLS"),$B98)),IF(COLUMN(A$1)=1,PrixTPU,PrixTPU_Dist),0)+
IF(ISNUMBER(SEARCH(IF(Francais,"Sans Scanner (STD)","Without Scanner (STD)"),$B98)),(STD_GenCalib_Drivers_Instr_Techsup+PrixBlBgSTD)*(1-RebateHardware*0),0)+
IF(ISNUMBER(SEARCH(IF(Francais,"Sans Scanner (LA)","Without Scanner (LA)"),$B98)),(LA_GenCalib_Drivers_Instr_Techsup+PrixBlBgLA)*(1-RebateHardware*0),0),
"")</f>
        <v>1468</v>
      </c>
    </row>
    <row r="99" spans="1:3" x14ac:dyDescent="0.2">
      <c r="A99" s="423"/>
      <c r="B99" t="s">
        <v>875</v>
      </c>
      <c r="C99" s="417">
        <f>IF(AND(ShowStaticListPrice,Checkbox_SansScanner),
N("PrixSoftware")+INDEX(CAM_SoftwarePriceList,MATCH(LEFT($B99,FIND(" ",$B99,FIND(" ",$B99)+1))&amp;"*",{"WinCAM™ NDVI Basic 32&amp;64bit";"WinCAM™ NDVI Reg 32&amp;64bit";"WinCAM™ NDVI Pro 32&amp;64bit"},0))+
IF(ISNUMBER(SEARCH("STD4800",$B99)),IF(COLUMN(A$1)=1,PrixSTD+PrixBlBgSTD,PrixSTD_Dist+PrixBlBgSTD*(1-RebateHardware)),0)+
IF(ISNUMBER(SEARCH("LA2400",$B99)),IF(COLUMN(A$1)=1,PrixLA+PrixBlBgLA,PrixLA_Dist+PrixBlBgLA*(1-RebateHardware)),0)+
IF(ISNUMBER(SEARCH(IF(Francais,"et LS","and SLS"),$B99)),IF(COLUMN(A$1)=1,PrixTPU,PrixTPU_Dist),0)+
IF(ISNUMBER(SEARCH(IF(Francais,"Sans Scanner (STD)","Without Scanner (STD)"),$B99)),(STD_GenCalib_Drivers_Instr_Techsup+PrixBlBgSTD)*(1-RebateHardware*0),0)+
IF(ISNUMBER(SEARCH(IF(Francais,"Sans Scanner (LA)","Without Scanner (LA)"),$B99)),(LA_GenCalib_Drivers_Instr_Techsup+PrixBlBgLA)*(1-RebateHardware*0),0),
"")</f>
        <v>1490</v>
      </c>
    </row>
    <row r="100" spans="1:3" x14ac:dyDescent="0.2">
      <c r="A100" s="423"/>
      <c r="B100" t="s">
        <v>876</v>
      </c>
      <c r="C100" s="417">
        <f>IF(AND(ShowStaticListPrice,Checkbox_WithScan),
N("PrixSoftware")+INDEX(CAM_SoftwarePriceList,MATCH(LEFT($B100,FIND(" ",$B100,FIND(" ",$B100)+1))&amp;"*",{"WinCAM™ NDVI Basic 32&amp;64bit";"WinCAM™ NDVI Reg 32&amp;64bit";"WinCAM™ NDVI Pro 32&amp;64bit"},0))+
IF(ISNUMBER(SEARCH("STD4800",$B100)),IF(COLUMN(A$1)=1,PrixSTD+PrixBlBgSTD,PrixSTD_Dist+PrixBlBgSTD*(1-RebateHardware)),0)+
IF(ISNUMBER(SEARCH("LA2400",$B100)),IF(COLUMN(A$1)=1,PrixLA+PrixBlBgLA,PrixLA_Dist+PrixBlBgLA*(1-RebateHardware)),0)+
IF(ISNUMBER(SEARCH(IF(Francais,"et LS","and SLS"),$B100)),IF(COLUMN(A$1)=1,PrixTPU,PrixTPU_Dist),0)+
IF(ISNUMBER(SEARCH(IF(Francais,"Sans Scanner (STD)","Without Scanner (STD)"),$B100)),(STD_GenCalib_Drivers_Instr_Techsup+PrixBlBgSTD)*(1-RebateHardware*0),0)+
IF(ISNUMBER(SEARCH(IF(Francais,"Sans Scanner (LA)","Without Scanner (LA)"),$B100)),(LA_GenCalib_Drivers_Instr_Techsup+PrixBlBgLA)*(1-RebateHardware*0),0),
"")</f>
        <v>2597</v>
      </c>
    </row>
    <row r="101" spans="1:3" x14ac:dyDescent="0.2">
      <c r="A101" s="423"/>
      <c r="B101" t="s">
        <v>877</v>
      </c>
      <c r="C101" s="417">
        <f>IF(AND(ShowStaticListPrice,Checkbox_WithScan),
N("PrixSoftware")+INDEX(CAM_SoftwarePriceList,MATCH(LEFT($B101,FIND(" ",$B101,FIND(" ",$B101)+1))&amp;"*",{"WinCAM™ NDVI Basic 32&amp;64bit";"WinCAM™ NDVI Reg 32&amp;64bit";"WinCAM™ NDVI Pro 32&amp;64bit"},0))+
IF(ISNUMBER(SEARCH("STD4800",$B101)),IF(COLUMN(A$1)=1,PrixSTD+PrixBlBgSTD,PrixSTD_Dist+PrixBlBgSTD*(1-RebateHardware)),0)+
IF(ISNUMBER(SEARCH("LA2400",$B101)),IF(COLUMN(A$1)=1,PrixLA+PrixBlBgLA,PrixLA_Dist+PrixBlBgLA*(1-RebateHardware)),0)+
IF(ISNUMBER(SEARCH(IF(Francais,"et LS","and SLS"),$B101)),IF(COLUMN(A$1)=1,PrixTPU,PrixTPU_Dist),0)+
IF(ISNUMBER(SEARCH(IF(Francais,"Sans Scanner (STD)","Without Scanner (STD)"),$B101)),(STD_GenCalib_Drivers_Instr_Techsup+PrixBlBgSTD)*(1-RebateHardware*0),0)+
IF(ISNUMBER(SEARCH(IF(Francais,"Sans Scanner (LA)","Without Scanner (LA)"),$B101)),(LA_GenCalib_Drivers_Instr_Techsup+PrixBlBgLA)*(1-RebateHardware*0),0),
"")</f>
        <v>5382</v>
      </c>
    </row>
    <row r="102" spans="1:3" x14ac:dyDescent="0.2">
      <c r="A102" s="423"/>
      <c r="B102" t="s">
        <v>878</v>
      </c>
      <c r="C102" s="417">
        <f>IF(AND(ShowStaticListPrice,Checkbox_WithScan),
N("PrixSoftware")+INDEX(CAM_SoftwarePriceList,MATCH(LEFT($B102,FIND(" ",$B102,FIND(" ",$B102)+1))&amp;"*",{"WinCAM™ NDVI Basic 32&amp;64bit";"WinCAM™ NDVI Reg 32&amp;64bit";"WinCAM™ NDVI Pro 32&amp;64bit"},0))+
IF(ISNUMBER(SEARCH("STD4800",$B102)),IF(COLUMN(A$1)=1,PrixSTD+PrixBlBgSTD,PrixSTD_Dist+PrixBlBgSTD*(1-RebateHardware)),0)+
IF(ISNUMBER(SEARCH("LA2400",$B102)),IF(COLUMN(A$1)=1,PrixLA+PrixBlBgLA,PrixLA_Dist+PrixBlBgLA*(1-RebateHardware)),0)+
IF(ISNUMBER(SEARCH(IF(Francais,"et LS","and SLS"),$B102)),IF(COLUMN(A$1)=1,PrixTPU,PrixTPU_Dist),0)+
IF(ISNUMBER(SEARCH(IF(Francais,"Sans Scanner (STD)","Without Scanner (STD)"),$B102)),(STD_GenCalib_Drivers_Instr_Techsup+PrixBlBgSTD)*(1-RebateHardware*0),0)+
IF(ISNUMBER(SEARCH(IF(Francais,"Sans Scanner (LA)","Without Scanner (LA)"),$B102)),(LA_GenCalib_Drivers_Instr_Techsup+PrixBlBgLA)*(1-RebateHardware*0),0),
"")</f>
        <v>6153</v>
      </c>
    </row>
    <row r="103" spans="1:3" x14ac:dyDescent="0.2">
      <c r="A103" s="423"/>
      <c r="B103" t="s">
        <v>879</v>
      </c>
      <c r="C103" s="417">
        <f>IF(AND(ShowStaticListPrice,Checkbox_SansScanner),
N("PrixSoftware")+INDEX(CAM_SoftwarePriceList,MATCH(LEFT($B103,FIND(" ",$B103,FIND(" ",$B103)+1))&amp;"*",{"WinCAM™ NDVI Basic 32&amp;64bit";"WinCAM™ NDVI Reg 32&amp;64bit";"WinCAM™ NDVI Pro 32&amp;64bit"},0))+
IF(ISNUMBER(SEARCH("STD4800",$B103)),IF(COLUMN(A$1)=1,PrixSTD+PrixBlBgSTD,PrixSTD_Dist+PrixBlBgSTD*(1-RebateHardware)),0)+
IF(ISNUMBER(SEARCH("LA2400",$B103)),IF(COLUMN(A$1)=1,PrixLA+PrixBlBgLA,PrixLA_Dist+PrixBlBgLA*(1-RebateHardware)),0)+
IF(ISNUMBER(SEARCH(IF(Francais,"et LS","and SLS"),$B103)),IF(COLUMN(A$1)=1,PrixTPU,PrixTPU_Dist),0)+
IF(ISNUMBER(SEARCH(IF(Francais,"Sans Scanner (STD)","Without Scanner (STD)"),$B103)),(STD_GenCalib_Drivers_Instr_Techsup+PrixBlBgSTD)*(1-RebateHardware*0),0)+
IF(ISNUMBER(SEARCH(IF(Francais,"Sans Scanner (LA)","Without Scanner (LA)"),$B103)),(LA_GenCalib_Drivers_Instr_Techsup+PrixBlBgLA)*(1-RebateHardware*0),0),
"")</f>
        <v>1468</v>
      </c>
    </row>
    <row r="104" spans="1:3" x14ac:dyDescent="0.2">
      <c r="A104" s="423"/>
      <c r="B104" t="s">
        <v>880</v>
      </c>
      <c r="C104" s="417">
        <f>IF(AND(ShowStaticListPrice,Checkbox_SansScanner),
N("PrixSoftware")+INDEX(CAM_SoftwarePriceList,MATCH(LEFT($B104,FIND(" ",$B104,FIND(" ",$B104)+1))&amp;"*",{"WinCAM™ NDVI Basic 32&amp;64bit";"WinCAM™ NDVI Reg 32&amp;64bit";"WinCAM™ NDVI Pro 32&amp;64bit"},0))+
IF(ISNUMBER(SEARCH("STD4800",$B104)),IF(COLUMN(A$1)=1,PrixSTD+PrixBlBgSTD,PrixSTD_Dist+PrixBlBgSTD*(1-RebateHardware)),0)+
IF(ISNUMBER(SEARCH("LA2400",$B104)),IF(COLUMN(A$1)=1,PrixLA+PrixBlBgLA,PrixLA_Dist+PrixBlBgLA*(1-RebateHardware)),0)+
IF(ISNUMBER(SEARCH(IF(Francais,"et LS","and SLS"),$B104)),IF(COLUMN(A$1)=1,PrixTPU,PrixTPU_Dist),0)+
IF(ISNUMBER(SEARCH(IF(Francais,"Sans Scanner (STD)","Without Scanner (STD)"),$B104)),(STD_GenCalib_Drivers_Instr_Techsup+PrixBlBgSTD)*(1-RebateHardware*0),0)+
IF(ISNUMBER(SEARCH(IF(Francais,"Sans Scanner (LA)","Without Scanner (LA)"),$B104)),(LA_GenCalib_Drivers_Instr_Techsup+PrixBlBgLA)*(1-RebateHardware*0),0),
"")</f>
        <v>1490</v>
      </c>
    </row>
    <row r="105" spans="1:3" x14ac:dyDescent="0.2">
      <c r="A105" s="423"/>
      <c r="B105" t="s">
        <v>881</v>
      </c>
      <c r="C105" s="417">
        <f>IF(AND(ShowStaticListPrice,Checkbox_WithScan),
N("PrixSoftware")+INDEX(CAM_SoftwarePriceList,MATCH(LEFT($B105,FIND(" ",$B105,FIND(" ",$B105)+1))&amp;"*",{"WinCAM™ NDVI Basic 32&amp;64bit";"WinCAM™ NDVI Reg 32&amp;64bit";"WinCAM™ NDVI Pro 32&amp;64bit"},0))+
IF(ISNUMBER(SEARCH("STD4800",$B105)),IF(COLUMN(A$1)=1,PrixSTD+PrixBlBgSTD,PrixSTD_Dist+PrixBlBgSTD*(1-RebateHardware)),0)+
IF(ISNUMBER(SEARCH("LA2400",$B105)),IF(COLUMN(A$1)=1,PrixLA+PrixBlBgLA,PrixLA_Dist+PrixBlBgLA*(1-RebateHardware)),0)+
IF(ISNUMBER(SEARCH(IF(Francais,"et LS","and SLS"),$B105)),IF(COLUMN(A$1)=1,PrixTPU,PrixTPU_Dist),0)+
IF(ISNUMBER(SEARCH(IF(Francais,"Sans Scanner (STD)","Without Scanner (STD)"),$B105)),(STD_GenCalib_Drivers_Instr_Techsup+PrixBlBgSTD)*(1-RebateHardware*0),0)+
IF(ISNUMBER(SEARCH(IF(Francais,"Sans Scanner (LA)","Without Scanner (LA)"),$B105)),(LA_GenCalib_Drivers_Instr_Techsup+PrixBlBgLA)*(1-RebateHardware*0),0),
"")</f>
        <v>2597</v>
      </c>
    </row>
    <row r="106" spans="1:3" x14ac:dyDescent="0.2">
      <c r="A106" s="423"/>
      <c r="B106" t="s">
        <v>882</v>
      </c>
      <c r="C106" s="417">
        <f>IF(AND(ShowStaticListPrice,Checkbox_WithScan),
N("PrixSoftware")+INDEX(CAM_SoftwarePriceList,MATCH(LEFT($B106,FIND(" ",$B106,FIND(" ",$B106)+1))&amp;"*",{"WinCAM™ NDVI Basic 32&amp;64bit";"WinCAM™ NDVI Reg 32&amp;64bit";"WinCAM™ NDVI Pro 32&amp;64bit"},0))+
IF(ISNUMBER(SEARCH("STD4800",$B106)),IF(COLUMN(A$1)=1,PrixSTD+PrixBlBgSTD,PrixSTD_Dist+PrixBlBgSTD*(1-RebateHardware)),0)+
IF(ISNUMBER(SEARCH("LA2400",$B106)),IF(COLUMN(A$1)=1,PrixLA+PrixBlBgLA,PrixLA_Dist+PrixBlBgLA*(1-RebateHardware)),0)+
IF(ISNUMBER(SEARCH(IF(Francais,"et LS","and SLS"),$B106)),IF(COLUMN(A$1)=1,PrixTPU,PrixTPU_Dist),0)+
IF(ISNUMBER(SEARCH(IF(Francais,"Sans Scanner (STD)","Without Scanner (STD)"),$B106)),(STD_GenCalib_Drivers_Instr_Techsup+PrixBlBgSTD)*(1-RebateHardware*0),0)+
IF(ISNUMBER(SEARCH(IF(Francais,"Sans Scanner (LA)","Without Scanner (LA)"),$B106)),(LA_GenCalib_Drivers_Instr_Techsup+PrixBlBgLA)*(1-RebateHardware*0),0),
"")</f>
        <v>5382</v>
      </c>
    </row>
    <row r="107" spans="1:3" x14ac:dyDescent="0.2">
      <c r="A107" s="423"/>
      <c r="B107" t="s">
        <v>883</v>
      </c>
      <c r="C107" s="417">
        <f>IF(AND(ShowStaticListPrice,Checkbox_WithScan),
N("PrixSoftware")+INDEX(CAM_SoftwarePriceList,MATCH(LEFT($B107,FIND(" ",$B107,FIND(" ",$B107)+1))&amp;"*",{"WinCAM™ NDVI Basic 32&amp;64bit";"WinCAM™ NDVI Reg 32&amp;64bit";"WinCAM™ NDVI Pro 32&amp;64bit"},0))+
IF(ISNUMBER(SEARCH("STD4800",$B107)),IF(COLUMN(A$1)=1,PrixSTD+PrixBlBgSTD,PrixSTD_Dist+PrixBlBgSTD*(1-RebateHardware)),0)+
IF(ISNUMBER(SEARCH("LA2400",$B107)),IF(COLUMN(A$1)=1,PrixLA+PrixBlBgLA,PrixLA_Dist+PrixBlBgLA*(1-RebateHardware)),0)+
IF(ISNUMBER(SEARCH(IF(Francais,"et LS","and SLS"),$B107)),IF(COLUMN(A$1)=1,PrixTPU,PrixTPU_Dist),0)+
IF(ISNUMBER(SEARCH(IF(Francais,"Sans Scanner (STD)","Without Scanner (STD)"),$B107)),(STD_GenCalib_Drivers_Instr_Techsup+PrixBlBgSTD)*(1-RebateHardware*0),0)+
IF(ISNUMBER(SEARCH(IF(Francais,"Sans Scanner (LA)","Without Scanner (LA)"),$B107)),(LA_GenCalib_Drivers_Instr_Techsup+PrixBlBgLA)*(1-RebateHardware*0),0),
"")</f>
        <v>6153</v>
      </c>
    </row>
    <row r="108" spans="1:3" x14ac:dyDescent="0.2">
      <c r="A108" s="423"/>
      <c r="B108" t="s">
        <v>884</v>
      </c>
      <c r="C108" s="417">
        <f>IF(AND(ShowStaticListPrice,Checkbox_SansScanner),
N("PrixSoftware")+INDEX(CAM_SoftwarePriceList,MATCH(LEFT($B108,FIND(" ",$B108,FIND(" ",$B108)+1))&amp;"*",{"WinCAM™ NDVI Basic 32&amp;64bit";"WinCAM™ NDVI Reg 32&amp;64bit";"WinCAM™ NDVI Pro 32&amp;64bit"},0))+
IF(ISNUMBER(SEARCH("STD4800",$B108)),IF(COLUMN(A$1)=1,PrixSTD+PrixBlBgSTD,PrixSTD_Dist+PrixBlBgSTD*(1-RebateHardware)),0)+
IF(ISNUMBER(SEARCH("LA2400",$B108)),IF(COLUMN(A$1)=1,PrixLA+PrixBlBgLA,PrixLA_Dist+PrixBlBgLA*(1-RebateHardware)),0)+
IF(ISNUMBER(SEARCH(IF(Francais,"et LS","and SLS"),$B108)),IF(COLUMN(A$1)=1,PrixTPU,PrixTPU_Dist),0)+
IF(ISNUMBER(SEARCH(IF(Francais,"Sans Scanner (STD)","Without Scanner (STD)"),$B108)),(STD_GenCalib_Drivers_Instr_Techsup+PrixBlBgSTD)*(1-RebateHardware*0),0)+
IF(ISNUMBER(SEARCH(IF(Francais,"Sans Scanner (LA)","Without Scanner (LA)"),$B108)),(LA_GenCalib_Drivers_Instr_Techsup+PrixBlBgLA)*(1-RebateHardware*0),0),
"")</f>
        <v>1468</v>
      </c>
    </row>
    <row r="109" spans="1:3" x14ac:dyDescent="0.2">
      <c r="A109" s="423"/>
      <c r="B109" t="s">
        <v>885</v>
      </c>
      <c r="C109" s="417">
        <f>IF(AND(ShowStaticListPrice,Checkbox_SansScanner),
N("PrixSoftware")+INDEX(CAM_SoftwarePriceList,MATCH(LEFT($B109,FIND(" ",$B109,FIND(" ",$B109)+1))&amp;"*",{"WinCAM™ NDVI Basic 32&amp;64bit";"WinCAM™ NDVI Reg 32&amp;64bit";"WinCAM™ NDVI Pro 32&amp;64bit"},0))+
IF(ISNUMBER(SEARCH("STD4800",$B109)),IF(COLUMN(A$1)=1,PrixSTD+PrixBlBgSTD,PrixSTD_Dist+PrixBlBgSTD*(1-RebateHardware)),0)+
IF(ISNUMBER(SEARCH("LA2400",$B109)),IF(COLUMN(A$1)=1,PrixLA+PrixBlBgLA,PrixLA_Dist+PrixBlBgLA*(1-RebateHardware)),0)+
IF(ISNUMBER(SEARCH(IF(Francais,"et LS","and SLS"),$B109)),IF(COLUMN(A$1)=1,PrixTPU,PrixTPU_Dist),0)+
IF(ISNUMBER(SEARCH(IF(Francais,"Sans Scanner (STD)","Without Scanner (STD)"),$B109)),(STD_GenCalib_Drivers_Instr_Techsup+PrixBlBgSTD)*(1-RebateHardware*0),0)+
IF(ISNUMBER(SEARCH(IF(Francais,"Sans Scanner (LA)","Without Scanner (LA)"),$B109)),(LA_GenCalib_Drivers_Instr_Techsup+PrixBlBgLA)*(1-RebateHardware*0),0),
"")</f>
        <v>1490</v>
      </c>
    </row>
    <row r="110" spans="1:3" x14ac:dyDescent="0.2">
      <c r="A110" s="423"/>
      <c r="B110" t="s">
        <v>904</v>
      </c>
      <c r="C110" s="417">
        <f>IF(AND(ShowStaticListPrice,Checkbox_WithScan),
N("PrixSoftware")+INDEX(CAM_SoftwarePriceList,MATCH(LEFT($B110,FIND(" ",$B110,FIND(" ",$B110)+6))&amp;"*",{"WinCAM™ NDVI Basic 32&amp;64bit";"WinCAM™ NDVI Reg 32&amp;64bit";"WinCAM™ NDVI Pro 32&amp;64bit"},0))
+LC_GenCalib_Drivers_Instr_Techsup+PrixBlBgLC,
"")</f>
        <v>1413</v>
      </c>
    </row>
    <row r="111" spans="1:3" x14ac:dyDescent="0.2">
      <c r="A111" s="423"/>
      <c r="B111" t="s">
        <v>905</v>
      </c>
      <c r="C111" s="417">
        <f>IF(AND(ShowStaticListPrice,Checkbox_WithScan),
N("PrixSoftware")+INDEX(CAM_SoftwarePriceList,MATCH(LEFT($B111,FIND(" ",$B111,FIND(" ",$B111)+6))&amp;"*",{"WinCAM™ NDVI Basic 32&amp;64bit";"WinCAM™ NDVI Reg 32&amp;64bit";"WinCAM™ NDVI Pro 32&amp;64bit"},0))
+LC_GenCalib_Drivers_Instr_Techsup+PrixBlBgLC,
"")</f>
        <v>1858</v>
      </c>
    </row>
    <row r="112" spans="1:3" x14ac:dyDescent="0.2">
      <c r="A112" s="423"/>
      <c r="B112" t="s">
        <v>906</v>
      </c>
      <c r="C112" s="417">
        <f>IF(AND(ShowStaticListPrice,Checkbox_WithScan),
N("PrixSoftware")+INDEX(CAM_SoftwarePriceList,MATCH(LEFT($B112,FIND(" ",$B112,FIND(" ",$B112)+6))&amp;"*",{"WinCAM™ NDVI Basic 32&amp;64bit";"WinCAM™ NDVI Reg 32&amp;64bit";"WinCAM™ NDVI Pro 32&amp;64bit"},0))
+LC_GenCalib_Drivers_Instr_Techsup+PrixBlBgLC,
"")</f>
        <v>2745</v>
      </c>
    </row>
    <row r="113" spans="1:3" x14ac:dyDescent="0.2">
      <c r="A113" s="423"/>
      <c r="B113" s="45" t="s">
        <v>892</v>
      </c>
      <c r="C113" s="417"/>
    </row>
    <row r="114" spans="1:3" x14ac:dyDescent="0.2">
      <c r="A114" s="234"/>
      <c r="B114" t="s">
        <v>893</v>
      </c>
      <c r="C114" s="417">
        <f>IF(ShowStaticListPrice,Calc!$A$31,"")</f>
        <v>231</v>
      </c>
    </row>
    <row r="115" spans="1:3" x14ac:dyDescent="0.2">
      <c r="A115" s="423"/>
      <c r="B115" t="s">
        <v>894</v>
      </c>
      <c r="C115" s="417">
        <f>IF(ShowStaticListPrice,Calc!$A$32,"")</f>
        <v>428</v>
      </c>
    </row>
    <row r="116" spans="1:3" x14ac:dyDescent="0.2">
      <c r="A116" s="234"/>
      <c r="B116" t="s">
        <v>895</v>
      </c>
      <c r="C116" s="417">
        <f>IF(ShowStaticListPrice,Calc!$A$13,"")</f>
        <v>26</v>
      </c>
    </row>
    <row r="117" spans="1:3" x14ac:dyDescent="0.2">
      <c r="A117" s="423"/>
      <c r="B117" t="s">
        <v>896</v>
      </c>
      <c r="C117" s="417">
        <f>IF(ShowStaticListPrice,Calc!$A$14,"")</f>
        <v>48</v>
      </c>
    </row>
    <row r="118" spans="1:3" x14ac:dyDescent="0.2">
      <c r="A118" s="234"/>
      <c r="B118" t="s">
        <v>897</v>
      </c>
      <c r="C118" s="417">
        <f>IF(ShowStaticListPrice,Calc!$A$12,"")</f>
        <v>26</v>
      </c>
    </row>
    <row r="119" spans="1:3" x14ac:dyDescent="0.2">
      <c r="A119" s="263"/>
      <c r="B119" s="263"/>
      <c r="C119" s="424"/>
    </row>
    <row r="120" spans="1:3" x14ac:dyDescent="0.2">
      <c r="A120" s="263"/>
      <c r="B120" t="s">
        <v>898</v>
      </c>
      <c r="C120" s="417">
        <f>IF(ShowStaticListPrice,PrixSLR24+Calc!A71,"")</f>
        <v>6423</v>
      </c>
    </row>
    <row r="121" spans="1:3" x14ac:dyDescent="0.2">
      <c r="A121" s="263"/>
      <c r="B121" t="s">
        <v>899</v>
      </c>
      <c r="C121" s="417">
        <f>IF(ShowStaticListPrice,PrixSLR24+Calc!A72,"")</f>
        <v>7844</v>
      </c>
    </row>
    <row r="122" spans="1:3" x14ac:dyDescent="0.2">
      <c r="A122" s="263"/>
      <c r="B122" t="s">
        <v>907</v>
      </c>
      <c r="C122" s="417">
        <f>IF(ShowStaticListPrice,PrixSLR24SansCaseSansMount+Calc!A70,"")</f>
        <v>3827</v>
      </c>
    </row>
    <row r="123" spans="1:3" x14ac:dyDescent="0.2">
      <c r="A123" s="263"/>
      <c r="B123" t="s">
        <v>901</v>
      </c>
      <c r="C123" s="417">
        <f>IF(ShowStaticListPrice,PrixSLR24SansCaseSansMount+Calc!A71,"")</f>
        <v>4677</v>
      </c>
    </row>
    <row r="124" spans="1:3" x14ac:dyDescent="0.2">
      <c r="A124" s="263"/>
      <c r="B124" t="s">
        <v>902</v>
      </c>
      <c r="C124" s="417">
        <f>IF(ShowStaticListPrice,PrixSLR24SansCaseSansMount+Calc!A72,"")</f>
        <v>6098</v>
      </c>
    </row>
    <row r="125" spans="1:3" x14ac:dyDescent="0.2">
      <c r="A125" s="263"/>
      <c r="B125" t="s">
        <v>903</v>
      </c>
      <c r="C125" s="417">
        <f>IF(ShowStaticListPrice,PrixBig_Tripod,"")</f>
        <v>925</v>
      </c>
    </row>
  </sheetData>
  <sheetProtection algorithmName="SHA-512" hashValue="RnQR6VV5YOJj5cWJo0zgAXF2RElPfK/SCxNiUMtw9KRpOxx849cIZwwgvpVxII76XBLSe5SYNsKUSVliucEAIA==" saltValue="sJYrlbMn57DMCqdEsbRqMw==" spinCount="100000" sheet="1" objects="1" scenarios="1" selectLockedCells="1"/>
  <mergeCells count="2">
    <mergeCell ref="D8:D9"/>
    <mergeCell ref="D37:D40"/>
  </mergeCells>
  <pageMargins left="0.7" right="0.7" top="0.75" bottom="0.75" header="0.3" footer="0.3"/>
  <pageSetup scale="3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BoxStaticListPrice">
              <controlPr defaultSize="0" autoFill="0" autoLine="0" autoPict="0">
                <anchor moveWithCells="1" sizeWithCells="1">
                  <from>
                    <xdr:col>2</xdr:col>
                    <xdr:colOff>152400</xdr:colOff>
                    <xdr:row>2</xdr:row>
                    <xdr:rowOff>0</xdr:rowOff>
                  </from>
                  <to>
                    <xdr:col>3</xdr:col>
                    <xdr:colOff>0</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theme="1" tint="0.34998626667073579"/>
  </sheetPr>
  <dimension ref="A1:E1"/>
  <sheetViews>
    <sheetView zoomScaleNormal="100" workbookViewId="0"/>
  </sheetViews>
  <sheetFormatPr baseColWidth="10" defaultColWidth="8.6640625" defaultRowHeight="16" x14ac:dyDescent="0.2"/>
  <cols>
    <col min="3" max="3" width="10.1640625" bestFit="1" customWidth="1"/>
  </cols>
  <sheetData>
    <row r="1" spans="1:5" x14ac:dyDescent="0.2">
      <c r="A1" t="s">
        <v>125</v>
      </c>
      <c r="B1" t="s">
        <v>126</v>
      </c>
      <c r="C1" t="s">
        <v>0</v>
      </c>
      <c r="D1" t="s">
        <v>127</v>
      </c>
      <c r="E1" t="s">
        <v>128</v>
      </c>
    </row>
  </sheetData>
  <sheetProtection algorithmName="SHA-512" hashValue="wCzNql4fPiU3hSTKkh7g09TfO7ePpTPrlwP4oxzNiLve1XkDFPV/uyvjqp4Jy3ni5G4FvyecgDDgk4wEvFFJtg==" saltValue="H4SJOMB9oQgjto/VTiUkUQ=="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460</vt:i4>
      </vt:variant>
    </vt:vector>
  </HeadingPairs>
  <TitlesOfParts>
    <vt:vector size="472" baseType="lpstr">
      <vt:lpstr>Home</vt:lpstr>
      <vt:lpstr>Quote</vt:lpstr>
      <vt:lpstr>WinRHIZO</vt:lpstr>
      <vt:lpstr>WinRHIZOTron</vt:lpstr>
      <vt:lpstr>WinSEEDLE</vt:lpstr>
      <vt:lpstr>WinFOLIA</vt:lpstr>
      <vt:lpstr>WinCAM</vt:lpstr>
      <vt:lpstr>WinDENDRO</vt:lpstr>
      <vt:lpstr>WinCELL</vt:lpstr>
      <vt:lpstr>WinSCANOPY</vt:lpstr>
      <vt:lpstr>Static $</vt:lpstr>
      <vt:lpstr>Static $ NoSoft</vt:lpstr>
      <vt:lpstr>AccountNumber</vt:lpstr>
      <vt:lpstr>BoxSizeAndWeight</vt:lpstr>
      <vt:lpstr>Bureau_Description</vt:lpstr>
      <vt:lpstr>Bureau_Percent</vt:lpstr>
      <vt:lpstr>ButtonGet</vt:lpstr>
      <vt:lpstr>C_INV_CheckboxArea</vt:lpstr>
      <vt:lpstr>CAM_Access1</vt:lpstr>
      <vt:lpstr>CAM_Access2</vt:lpstr>
      <vt:lpstr>CAM_Access3</vt:lpstr>
      <vt:lpstr>CAM_Access4</vt:lpstr>
      <vt:lpstr>CAM_Access5</vt:lpstr>
      <vt:lpstr>CAM_ClientWithOrWithoutScanner</vt:lpstr>
      <vt:lpstr>CAM_ClientWithOrWithoutScanner_ChkBox</vt:lpstr>
      <vt:lpstr>CAM_IndexClientVersion</vt:lpstr>
      <vt:lpstr>CAM_IndexModelClient</vt:lpstr>
      <vt:lpstr>CAM_IndexModelSoftware</vt:lpstr>
      <vt:lpstr>CAM_IndexScanner</vt:lpstr>
      <vt:lpstr>CAM_IndexSoftware</vt:lpstr>
      <vt:lpstr>CAM_ManuelM1</vt:lpstr>
      <vt:lpstr>CAM_N_AlreadyHaveSoftware</vt:lpstr>
      <vt:lpstr>CAM_N_Software</vt:lpstr>
      <vt:lpstr>CAM_N_System</vt:lpstr>
      <vt:lpstr>CAM_N_UpgradeUpdate</vt:lpstr>
      <vt:lpstr>CAM_Option1</vt:lpstr>
      <vt:lpstr>CAM_Option2</vt:lpstr>
      <vt:lpstr>CAM_Option3</vt:lpstr>
      <vt:lpstr>CAM_Option4</vt:lpstr>
      <vt:lpstr>CAM_OptionTPU</vt:lpstr>
      <vt:lpstr>CAM_PosiOrBlueBG_Checkbox</vt:lpstr>
      <vt:lpstr>CAM_SoftwareFullNames</vt:lpstr>
      <vt:lpstr>CAM_SoftwareList</vt:lpstr>
      <vt:lpstr>CAM_SoftwarePriceList</vt:lpstr>
      <vt:lpstr>CAM_UpgradeNModels</vt:lpstr>
      <vt:lpstr>CAM_YearMostRecent</vt:lpstr>
      <vt:lpstr>CELL_ClientWithOrWithoutScanner</vt:lpstr>
      <vt:lpstr>CELL_IndexClientVersion</vt:lpstr>
      <vt:lpstr>CELL_IndexModelClient</vt:lpstr>
      <vt:lpstr>CELL_IndexModelSoftware</vt:lpstr>
      <vt:lpstr>CELL_IndexSoftware</vt:lpstr>
      <vt:lpstr>CELL_N_AlreadyHaveSoftware</vt:lpstr>
      <vt:lpstr>CELL_N_Software</vt:lpstr>
      <vt:lpstr>CELL_N_System</vt:lpstr>
      <vt:lpstr>CELL_N_UpgradeUpdate</vt:lpstr>
      <vt:lpstr>CELL_OptionXL</vt:lpstr>
      <vt:lpstr>CELL_SoftwareFullNames</vt:lpstr>
      <vt:lpstr>CELL_SoftwareList</vt:lpstr>
      <vt:lpstr>CELL_SoftwarePriceList</vt:lpstr>
      <vt:lpstr>CELL_UpgradeNModels</vt:lpstr>
      <vt:lpstr>CELL_YearMostRecent</vt:lpstr>
      <vt:lpstr>Checkbox_Descriptions</vt:lpstr>
      <vt:lpstr>Checkbox_EtiqShip1</vt:lpstr>
      <vt:lpstr>Checkbox_EtiqShip2</vt:lpstr>
      <vt:lpstr>Checkbox_EtiqShip3</vt:lpstr>
      <vt:lpstr>Checkbox_EtiqShip4</vt:lpstr>
      <vt:lpstr>Checkbox_EtiqShip5</vt:lpstr>
      <vt:lpstr>Checkbox_EtiqShip6</vt:lpstr>
      <vt:lpstr>Checkbox_Instructions</vt:lpstr>
      <vt:lpstr>Checkbox_SameAsBillTo</vt:lpstr>
      <vt:lpstr>Checkbox_SansScanner</vt:lpstr>
      <vt:lpstr>Checkbox_Updates</vt:lpstr>
      <vt:lpstr>Checkbox_WithScan</vt:lpstr>
      <vt:lpstr>ClientAExp12000</vt:lpstr>
      <vt:lpstr>C_Inv!CountryCodeShip</vt:lpstr>
      <vt:lpstr>Inv!CountryCodeShip</vt:lpstr>
      <vt:lpstr>PList!CountryCodeShip</vt:lpstr>
      <vt:lpstr>CteUpdate</vt:lpstr>
      <vt:lpstr>Currency</vt:lpstr>
      <vt:lpstr>CustomerNumber</vt:lpstr>
      <vt:lpstr>DatePick_Day</vt:lpstr>
      <vt:lpstr>DatePick_Month</vt:lpstr>
      <vt:lpstr>DatePick_MonthNames</vt:lpstr>
      <vt:lpstr>DatePick_Year</vt:lpstr>
      <vt:lpstr>DatePick_YearIndex</vt:lpstr>
      <vt:lpstr>DatePick_YearNames</vt:lpstr>
      <vt:lpstr>DENDRO_Access1</vt:lpstr>
      <vt:lpstr>DENDRO_Access2</vt:lpstr>
      <vt:lpstr>DENDRO_Access3</vt:lpstr>
      <vt:lpstr>DENDRO_Access4</vt:lpstr>
      <vt:lpstr>DENDRO_Access5</vt:lpstr>
      <vt:lpstr>DENDRO_BlueTargetCalib1</vt:lpstr>
      <vt:lpstr>DENDRO_ClefSN_P1</vt:lpstr>
      <vt:lpstr>DENDRO_ClientWithOrWithoutScanner</vt:lpstr>
      <vt:lpstr>DENDRO_ClientWithOrWithoutScanner_ChkBox</vt:lpstr>
      <vt:lpstr>DENDRO_IndexClientVersion</vt:lpstr>
      <vt:lpstr>DENDRO_IndexModelClient</vt:lpstr>
      <vt:lpstr>DENDRO_IndexModelSoftware</vt:lpstr>
      <vt:lpstr>DENDRO_IndexScanner</vt:lpstr>
      <vt:lpstr>DENDRO_IndexSoftware</vt:lpstr>
      <vt:lpstr>DENDRO_ManuelM1</vt:lpstr>
      <vt:lpstr>DENDRO_N_AlreadyHaveSoftware</vt:lpstr>
      <vt:lpstr>DENDRO_N_Software</vt:lpstr>
      <vt:lpstr>DENDRO_N_System</vt:lpstr>
      <vt:lpstr>DENDRO_N_UpgradeUpdate</vt:lpstr>
      <vt:lpstr>DENDRO_Option1</vt:lpstr>
      <vt:lpstr>DENDRO_Option2</vt:lpstr>
      <vt:lpstr>DENDRO_Option3</vt:lpstr>
      <vt:lpstr>DENDRO_Option4</vt:lpstr>
      <vt:lpstr>DENDRO_Option5</vt:lpstr>
      <vt:lpstr>DENDRO_OptionTPU</vt:lpstr>
      <vt:lpstr>DENDRO_OptionXL</vt:lpstr>
      <vt:lpstr>DENDRO_SoftwareFullNames</vt:lpstr>
      <vt:lpstr>DENDRO_SoftwareList</vt:lpstr>
      <vt:lpstr>DENDRO_SoftwarePriceList</vt:lpstr>
      <vt:lpstr>DENDRO_UpgradeNModels</vt:lpstr>
      <vt:lpstr>DENDRO_VerifierPar1</vt:lpstr>
      <vt:lpstr>DENDRO_YearMostRecent</vt:lpstr>
      <vt:lpstr>Distributeurs_Rabais</vt:lpstr>
      <vt:lpstr>C_Inv!FileName_Invoice</vt:lpstr>
      <vt:lpstr>FileName_Invoice</vt:lpstr>
      <vt:lpstr>FileName_Quote</vt:lpstr>
      <vt:lpstr>FileNames_Client</vt:lpstr>
      <vt:lpstr>FileNames_Dist</vt:lpstr>
      <vt:lpstr>FileNameWithNoScanners</vt:lpstr>
      <vt:lpstr>FOLIA_Access1</vt:lpstr>
      <vt:lpstr>FOLIA_Access2</vt:lpstr>
      <vt:lpstr>FOLIA_Access3</vt:lpstr>
      <vt:lpstr>FOLIA_Access4</vt:lpstr>
      <vt:lpstr>FOLIA_Access5</vt:lpstr>
      <vt:lpstr>FOLIA_ClientWithOrWithoutScanner</vt:lpstr>
      <vt:lpstr>FOLIA_ClientWithOrWithoutScanner_ChkBox</vt:lpstr>
      <vt:lpstr>FOLIA_IndexClientVersion</vt:lpstr>
      <vt:lpstr>FOLIA_IndexModelClient</vt:lpstr>
      <vt:lpstr>FOLIA_IndexModelSoftware</vt:lpstr>
      <vt:lpstr>FOLIA_IndexScanner</vt:lpstr>
      <vt:lpstr>FOLIA_IndexSoftware</vt:lpstr>
      <vt:lpstr>FOLIA_ManuelM1</vt:lpstr>
      <vt:lpstr>FOLIA_N_AlreadyHaveSoftware</vt:lpstr>
      <vt:lpstr>FOLIA_N_Software</vt:lpstr>
      <vt:lpstr>FOLIA_N_System</vt:lpstr>
      <vt:lpstr>FOLIA_N_UpgradeUpdate</vt:lpstr>
      <vt:lpstr>FOLIA_Option1</vt:lpstr>
      <vt:lpstr>FOLIA_Option2</vt:lpstr>
      <vt:lpstr>FOLIA_Option3</vt:lpstr>
      <vt:lpstr>FOLIA_Option4</vt:lpstr>
      <vt:lpstr>FOLIA_OptionTPU</vt:lpstr>
      <vt:lpstr>FOLIA_OptionXL</vt:lpstr>
      <vt:lpstr>FOLIA_PosiOrBlueBG_Checkbox</vt:lpstr>
      <vt:lpstr>FOLIA_SoftwareFullNames</vt:lpstr>
      <vt:lpstr>FOLIA_SoftwareList</vt:lpstr>
      <vt:lpstr>FOLIA_SoftwarePriceList</vt:lpstr>
      <vt:lpstr>FOLIA_UpgradeNModels</vt:lpstr>
      <vt:lpstr>FOLIA_YearMostRecent</vt:lpstr>
      <vt:lpstr>Francais</vt:lpstr>
      <vt:lpstr>HOME_Add1</vt:lpstr>
      <vt:lpstr>HOME_Add2</vt:lpstr>
      <vt:lpstr>HOME_City</vt:lpstr>
      <vt:lpstr>HOME_City_Ship</vt:lpstr>
      <vt:lpstr>HOME_Company</vt:lpstr>
      <vt:lpstr>HOME_Country</vt:lpstr>
      <vt:lpstr>HOME_Country_Ship</vt:lpstr>
      <vt:lpstr>HOME_FirstName</vt:lpstr>
      <vt:lpstr>HOME_LastName</vt:lpstr>
      <vt:lpstr>HOME_Province</vt:lpstr>
      <vt:lpstr>HOME_Province_Ship</vt:lpstr>
      <vt:lpstr>HOME_TaxID</vt:lpstr>
      <vt:lpstr>HOME_Tel</vt:lpstr>
      <vt:lpstr>HOME_Title</vt:lpstr>
      <vt:lpstr>HOME_Zip</vt:lpstr>
      <vt:lpstr>HOME_Zip_Ship</vt:lpstr>
      <vt:lpstr>IndexGenerateDist</vt:lpstr>
      <vt:lpstr>IndexZone</vt:lpstr>
      <vt:lpstr>INV_ButtonGet</vt:lpstr>
      <vt:lpstr>C_Inv!INV_CellToWriteDiscount</vt:lpstr>
      <vt:lpstr>INV_CellToWriteDiscount</vt:lpstr>
      <vt:lpstr>INV_CheckboxArea</vt:lpstr>
      <vt:lpstr>INV_Date</vt:lpstr>
      <vt:lpstr>INV_Range_ChkBoxInternetDownload</vt:lpstr>
      <vt:lpstr>INV_Range_ChkBoxNotForClient1</vt:lpstr>
      <vt:lpstr>INV_Range_ChkBoxNotForClient2</vt:lpstr>
      <vt:lpstr>INV_Range_ChkBoxNotForClient3</vt:lpstr>
      <vt:lpstr>INV_Range_ChkBoxNotForDist1</vt:lpstr>
      <vt:lpstr>C_Inv!INV_Shipping</vt:lpstr>
      <vt:lpstr>INV_Shipping</vt:lpstr>
      <vt:lpstr>C_Inv!Invoice_Currency</vt:lpstr>
      <vt:lpstr>PList!Invoice_Currency</vt:lpstr>
      <vt:lpstr>Invoice_Currency</vt:lpstr>
      <vt:lpstr>LA_GenCalib_Drivers_Instr_Techsup</vt:lpstr>
      <vt:lpstr>LC_GenCalib_Drivers_Instr_Techsup</vt:lpstr>
      <vt:lpstr>MinimumFee</vt:lpstr>
      <vt:lpstr>N_LAScanners</vt:lpstr>
      <vt:lpstr>N_LCScanners</vt:lpstr>
      <vt:lpstr>N_OptionsTotal</vt:lpstr>
      <vt:lpstr>C_Inv!N_SoftwareOrUpdates1To10</vt:lpstr>
      <vt:lpstr>Inv!N_SoftwareOrUpdates1To10</vt:lpstr>
      <vt:lpstr>PList!N_SoftwareOrUpdates1To10</vt:lpstr>
      <vt:lpstr>'Static $ NoSoft'!N_SoftwareOrUpdates1To10</vt:lpstr>
      <vt:lpstr>N_SoftwareOrUpdates1To10</vt:lpstr>
      <vt:lpstr>N_SoftwareTotal</vt:lpstr>
      <vt:lpstr>N_STDScanners</vt:lpstr>
      <vt:lpstr>N_SystemTotal</vt:lpstr>
      <vt:lpstr>N_Upd_Upg_Total</vt:lpstr>
      <vt:lpstr>NMaxTray</vt:lpstr>
      <vt:lpstr>NomsZones</vt:lpstr>
      <vt:lpstr>OptionButton_Suites</vt:lpstr>
      <vt:lpstr>PaymentText</vt:lpstr>
      <vt:lpstr>EtiqShip!Print_Area</vt:lpstr>
      <vt:lpstr>'Ship$'!Print_Area</vt:lpstr>
      <vt:lpstr>PrixBig_Tripod</vt:lpstr>
      <vt:lpstr>PrixBig_Tripod_Dist</vt:lpstr>
      <vt:lpstr>PrixBlBgLA</vt:lpstr>
      <vt:lpstr>PrixBlBgLC</vt:lpstr>
      <vt:lpstr>PrixBlBgLC_STD_LA</vt:lpstr>
      <vt:lpstr>PrixBlBgSTD</vt:lpstr>
      <vt:lpstr>PrixBlBgSTD_LA_LC</vt:lpstr>
      <vt:lpstr>PrixCoreHolder22</vt:lpstr>
      <vt:lpstr>PrixCoreHolder36</vt:lpstr>
      <vt:lpstr>PrixCorePosiLA</vt:lpstr>
      <vt:lpstr>PrixCorePosiSTD</vt:lpstr>
      <vt:lpstr>PrixDriverLC</vt:lpstr>
      <vt:lpstr>PrixGenericCalibFile</vt:lpstr>
      <vt:lpstr>PrixGP27</vt:lpstr>
      <vt:lpstr>PrixGP27_Dist</vt:lpstr>
      <vt:lpstr>PrixGP27CaseAndMountOnly</vt:lpstr>
      <vt:lpstr>PrixGP27CaseAndMountOnly_Dist</vt:lpstr>
      <vt:lpstr>PrixGP27SansCaseSansMount</vt:lpstr>
      <vt:lpstr>PrixGP27SansCaseSansMount_Dist</vt:lpstr>
      <vt:lpstr>PrixGP27SansCaseSansMountSansCam</vt:lpstr>
      <vt:lpstr>PrixGP27SansCaseSansMountSansCam_Dist</vt:lpstr>
      <vt:lpstr>PrixIndivCalibLC</vt:lpstr>
      <vt:lpstr>PrixIndivCalibSTD_LA</vt:lpstr>
      <vt:lpstr>PrixLA</vt:lpstr>
      <vt:lpstr>PrixLA_Dist</vt:lpstr>
      <vt:lpstr>PrixLAavecTPU</vt:lpstr>
      <vt:lpstr>PrixLAavecTPU_Dist</vt:lpstr>
      <vt:lpstr>PrixLC</vt:lpstr>
      <vt:lpstr>PrixLC_Dist</vt:lpstr>
      <vt:lpstr>PrixLC_STD_LA</vt:lpstr>
      <vt:lpstr>PrixLC_STD_LA_Dist</vt:lpstr>
      <vt:lpstr>PrixRootPosiLA</vt:lpstr>
      <vt:lpstr>PrixRootPosiSTD</vt:lpstr>
      <vt:lpstr>PrixScanopyCaseAndMount</vt:lpstr>
      <vt:lpstr>PrixScanopyCaseAndMount_Mini</vt:lpstr>
      <vt:lpstr>PrixScanopySystemWithCamera</vt:lpstr>
      <vt:lpstr>PrixScanopySystemWithCamera_Mini</vt:lpstr>
      <vt:lpstr>PrixScanopySystemWithoutCamera</vt:lpstr>
      <vt:lpstr>PrixScanopySystemWithoutCamera_Mini</vt:lpstr>
      <vt:lpstr>PrixSLR24</vt:lpstr>
      <vt:lpstr>PrixSLR24_Calib</vt:lpstr>
      <vt:lpstr>PrixSLR24_Calib_Dist</vt:lpstr>
      <vt:lpstr>PrixSLR24_Dist</vt:lpstr>
      <vt:lpstr>PrixSLR24_Lentille</vt:lpstr>
      <vt:lpstr>PrixSLR24_Lentille_Dist</vt:lpstr>
      <vt:lpstr>PrixSLR24CaseAndMountOnly</vt:lpstr>
      <vt:lpstr>PrixSLR24CaseAndMountOnly_Dist</vt:lpstr>
      <vt:lpstr>PrixSLR24SansCaseSansMount</vt:lpstr>
      <vt:lpstr>PrixSLR24SansCaseSansMount_Dist</vt:lpstr>
      <vt:lpstr>PrixSLR24SansCaseSansMountSansCam</vt:lpstr>
      <vt:lpstr>PrixSLR24SansCaseSansMountSansCam_Dist</vt:lpstr>
      <vt:lpstr>PrixSTD</vt:lpstr>
      <vt:lpstr>PrixSTD_Dist</vt:lpstr>
      <vt:lpstr>PrixTarget</vt:lpstr>
      <vt:lpstr>PrixTPU</vt:lpstr>
      <vt:lpstr>PrixTPU_Dist</vt:lpstr>
      <vt:lpstr>PrixTray10x15cm</vt:lpstr>
      <vt:lpstr>PrixTray15x20cm</vt:lpstr>
      <vt:lpstr>PrixTray20x25cm</vt:lpstr>
      <vt:lpstr>PrixTray20x30cm</vt:lpstr>
      <vt:lpstr>PrixTray25x35cm</vt:lpstr>
      <vt:lpstr>PrixTray30x40cm</vt:lpstr>
      <vt:lpstr>PrixTraySet2MedLarge</vt:lpstr>
      <vt:lpstr>PrixTraySet2Small</vt:lpstr>
      <vt:lpstr>PrixTraySet3MedLarge</vt:lpstr>
      <vt:lpstr>PrixTraySet3Small</vt:lpstr>
      <vt:lpstr>PrixTraySet5SmallMedLarge</vt:lpstr>
      <vt:lpstr>PrixTWAINDriver</vt:lpstr>
      <vt:lpstr>PrixUSBKey</vt:lpstr>
      <vt:lpstr>Prod!PROD_GreyCell3</vt:lpstr>
      <vt:lpstr>PROD_MostPopularScanner</vt:lpstr>
      <vt:lpstr>PROD_NumeroClient</vt:lpstr>
      <vt:lpstr>QUOTE_Bureaucracy</vt:lpstr>
      <vt:lpstr>QUOTE_CellToWriteDiscount</vt:lpstr>
      <vt:lpstr>QUOTE_CheckboxArea</vt:lpstr>
      <vt:lpstr>Quote_Currency</vt:lpstr>
      <vt:lpstr>QUOTE_Date</vt:lpstr>
      <vt:lpstr>QUOTE_Date2</vt:lpstr>
      <vt:lpstr>QUOTE_DetailedPrices</vt:lpstr>
      <vt:lpstr>QUOTE_DistDisableSameClient</vt:lpstr>
      <vt:lpstr>QUOTE_FilledByCustomer</vt:lpstr>
      <vt:lpstr>QUOTE_InternetDownload</vt:lpstr>
      <vt:lpstr>QUOTE_Range_ChkBoxInternetDownload</vt:lpstr>
      <vt:lpstr>QUOTE_Range_ChkBoxNotForClient</vt:lpstr>
      <vt:lpstr>QUOTE_Range_ChkBoxNotForClient1</vt:lpstr>
      <vt:lpstr>QUOTE_Range_ChkBoxNotForClient2</vt:lpstr>
      <vt:lpstr>QUOTE_Range_ChkBoxNotForClient3</vt:lpstr>
      <vt:lpstr>QUOTE_Range_ChkBoxNotForDist</vt:lpstr>
      <vt:lpstr>QUOTE_Range_ChkBoxNotForDist1</vt:lpstr>
      <vt:lpstr>QUOTE_SameClient</vt:lpstr>
      <vt:lpstr>QUOTE_Shipping</vt:lpstr>
      <vt:lpstr>QUOTE_Split_SoftwareHardware</vt:lpstr>
      <vt:lpstr>C_Inv!RabaisSoftwareIndex</vt:lpstr>
      <vt:lpstr>Inv!RabaisSoftwareIndex</vt:lpstr>
      <vt:lpstr>PList!RabaisSoftwareIndex</vt:lpstr>
      <vt:lpstr>'Static $ NoSoft'!RabaisSoftwareIndex</vt:lpstr>
      <vt:lpstr>RabaisSoftwareIndex</vt:lpstr>
      <vt:lpstr>RebateCalibScanner</vt:lpstr>
      <vt:lpstr>RebateCalibScanopy</vt:lpstr>
      <vt:lpstr>RebateHardware</vt:lpstr>
      <vt:lpstr>RebateScanner</vt:lpstr>
      <vt:lpstr>RebateSoftware</vt:lpstr>
      <vt:lpstr>RHIZO_Access1</vt:lpstr>
      <vt:lpstr>RHIZO_ClientWithOrWithoutScanner</vt:lpstr>
      <vt:lpstr>RHIZO_ClientWithOrWithoutScanner_ChkBox</vt:lpstr>
      <vt:lpstr>RHIZO_IndexClientVersion</vt:lpstr>
      <vt:lpstr>RHIZO_IndexModelClient</vt:lpstr>
      <vt:lpstr>RHIZO_IndexModelSoftware</vt:lpstr>
      <vt:lpstr>RHIZO_IndexScanner</vt:lpstr>
      <vt:lpstr>RHIZO_IndexSoftware</vt:lpstr>
      <vt:lpstr>RHIZO_ManuelM1</vt:lpstr>
      <vt:lpstr>RHIZO_N_AlreadyHaveSoftware</vt:lpstr>
      <vt:lpstr>RHIZO_N_Software</vt:lpstr>
      <vt:lpstr>RHIZO_N_System</vt:lpstr>
      <vt:lpstr>RHIZO_N_UpgradeUpdate</vt:lpstr>
      <vt:lpstr>RHIZO_Option1</vt:lpstr>
      <vt:lpstr>RHIZO_Option10</vt:lpstr>
      <vt:lpstr>RHIZO_Option11</vt:lpstr>
      <vt:lpstr>RHIZO_Option12</vt:lpstr>
      <vt:lpstr>RHIZO_Option2</vt:lpstr>
      <vt:lpstr>RHIZO_Option3</vt:lpstr>
      <vt:lpstr>RHIZO_Option4</vt:lpstr>
      <vt:lpstr>RHIZO_Option5</vt:lpstr>
      <vt:lpstr>RHIZO_Option6</vt:lpstr>
      <vt:lpstr>RHIZO_Option7</vt:lpstr>
      <vt:lpstr>RHIZO_Option8</vt:lpstr>
      <vt:lpstr>RHIZO_Option9</vt:lpstr>
      <vt:lpstr>RHIZO_OptionXL</vt:lpstr>
      <vt:lpstr>RHIZO_PosiOrBlueBG_Checkbox</vt:lpstr>
      <vt:lpstr>RHIZO_SoftwareFullNames</vt:lpstr>
      <vt:lpstr>RHIZO_SoftwareList</vt:lpstr>
      <vt:lpstr>RHIZO_SoftwarePriceList</vt:lpstr>
      <vt:lpstr>RHIZO_UpgradeNModels</vt:lpstr>
      <vt:lpstr>RHIZO_YearMostRecent</vt:lpstr>
      <vt:lpstr>RHIZOTRON_ClientWithOrWithoutScanner</vt:lpstr>
      <vt:lpstr>RHIZOTRON_IndexClientVersion</vt:lpstr>
      <vt:lpstr>RHIZOTRON_IndexModelClient</vt:lpstr>
      <vt:lpstr>RHIZOTRON_IndexModelSoftware</vt:lpstr>
      <vt:lpstr>RHIZOTRON_IndexSoftware</vt:lpstr>
      <vt:lpstr>RHIZOTRON_N_AlreadyHaveSoftware</vt:lpstr>
      <vt:lpstr>RHIZOTRON_N_Software</vt:lpstr>
      <vt:lpstr>RHIZOTRON_N_System</vt:lpstr>
      <vt:lpstr>RHIZOTRON_N_UpgradeUpdate</vt:lpstr>
      <vt:lpstr>RHIZOTRON_OptionXL</vt:lpstr>
      <vt:lpstr>RHIZOTRON_SoftwareFullNames</vt:lpstr>
      <vt:lpstr>RHIZOTRON_SoftwareList</vt:lpstr>
      <vt:lpstr>RHIZOTRON_SoftwarePriceList</vt:lpstr>
      <vt:lpstr>RHIZOTRON_UpgradeNModels</vt:lpstr>
      <vt:lpstr>RHIZOTRON_YearMostRecent</vt:lpstr>
      <vt:lpstr>ScannerHCode</vt:lpstr>
      <vt:lpstr>SCANOPY_BigTripod</vt:lpstr>
      <vt:lpstr>SCANOPY_Camera</vt:lpstr>
      <vt:lpstr>SCANOPY_CameraModel</vt:lpstr>
      <vt:lpstr>SCANOPY_CameraModel_Mini</vt:lpstr>
      <vt:lpstr>SCANOPY_CaseAndMount</vt:lpstr>
      <vt:lpstr>SCANOPY_ClientWithOrWithoutScanner</vt:lpstr>
      <vt:lpstr>SCANOPY_IndexClientVersion</vt:lpstr>
      <vt:lpstr>SCANOPY_IndexModelClient</vt:lpstr>
      <vt:lpstr>SCANOPY_IndexModelSoftware</vt:lpstr>
      <vt:lpstr>SCANOPY_IndexScanner</vt:lpstr>
      <vt:lpstr>SCANOPY_IndexSoftware</vt:lpstr>
      <vt:lpstr>SCANOPY_ManuelM1</vt:lpstr>
      <vt:lpstr>SCANOPY_N_AlreadyHaveSoftware</vt:lpstr>
      <vt:lpstr>SCANOPY_N_Software</vt:lpstr>
      <vt:lpstr>SCANOPY_N_System</vt:lpstr>
      <vt:lpstr>SCANOPY_N_UpgradeUpdate</vt:lpstr>
      <vt:lpstr>SCANOPY_Option1</vt:lpstr>
      <vt:lpstr>SCANOPY_OptionXL</vt:lpstr>
      <vt:lpstr>SCANOPY_SoftwareFullNames</vt:lpstr>
      <vt:lpstr>SCANOPY_SoftwareList</vt:lpstr>
      <vt:lpstr>SCANOPY_SoftwarePriceList</vt:lpstr>
      <vt:lpstr>SCANOPY_UpgradeNModels</vt:lpstr>
      <vt:lpstr>SCANOPY_YearMostRecent</vt:lpstr>
      <vt:lpstr>SEEDLE_Access1</vt:lpstr>
      <vt:lpstr>SEEDLE_ClientWithOrWithoutScanner</vt:lpstr>
      <vt:lpstr>SEEDLE_ClientWithOrWithoutScanner_ChkBox</vt:lpstr>
      <vt:lpstr>SEEDLE_IndexClientVersion</vt:lpstr>
      <vt:lpstr>SEEDLE_IndexModelClient</vt:lpstr>
      <vt:lpstr>SEEDLE_IndexModelSoftware</vt:lpstr>
      <vt:lpstr>SEEDLE_IndexScanner</vt:lpstr>
      <vt:lpstr>SEEDLE_IndexSoftware</vt:lpstr>
      <vt:lpstr>SEEDLE_ManuelM1</vt:lpstr>
      <vt:lpstr>SEEDLE_N_AlreadyHaveSoftware</vt:lpstr>
      <vt:lpstr>SEEDLE_N_Software</vt:lpstr>
      <vt:lpstr>SEEDLE_N_System</vt:lpstr>
      <vt:lpstr>SEEDLE_N_UpgradeUpdate</vt:lpstr>
      <vt:lpstr>SEEDLE_Option1</vt:lpstr>
      <vt:lpstr>SEEDLE_Option10</vt:lpstr>
      <vt:lpstr>SEEDLE_Option11</vt:lpstr>
      <vt:lpstr>SEEDLE_Option12</vt:lpstr>
      <vt:lpstr>SEEDLE_Option2</vt:lpstr>
      <vt:lpstr>SEEDLE_Option3</vt:lpstr>
      <vt:lpstr>SEEDLE_Option4</vt:lpstr>
      <vt:lpstr>SEEDLE_Option5</vt:lpstr>
      <vt:lpstr>SEEDLE_Option6</vt:lpstr>
      <vt:lpstr>SEEDLE_Option7</vt:lpstr>
      <vt:lpstr>SEEDLE_Option8</vt:lpstr>
      <vt:lpstr>SEEDLE_Option9</vt:lpstr>
      <vt:lpstr>SEEDLE_OptionXL</vt:lpstr>
      <vt:lpstr>SEEDLE_PosiOrBlueBG_Checkbox</vt:lpstr>
      <vt:lpstr>SEEDLE_SoftwareFullNames</vt:lpstr>
      <vt:lpstr>SEEDLE_SoftwareList</vt:lpstr>
      <vt:lpstr>SEEDLE_SoftwarePriceList</vt:lpstr>
      <vt:lpstr>SEEDLE_UpgradeNModels</vt:lpstr>
      <vt:lpstr>SEEDLE_YearMostRecent</vt:lpstr>
      <vt:lpstr>SHIP_CostSoftware</vt:lpstr>
      <vt:lpstr>SHIP_CostTotal</vt:lpstr>
      <vt:lpstr>SHIP_Country_Abrev</vt:lpstr>
      <vt:lpstr>SHIP_Country_Index</vt:lpstr>
      <vt:lpstr>SHIP_CrossShipping</vt:lpstr>
      <vt:lpstr>SHIP_CurrencyTaux</vt:lpstr>
      <vt:lpstr>ShowStaticListPrice</vt:lpstr>
      <vt:lpstr>'Static $ NoSoft'!StaticPriceList_Headers</vt:lpstr>
      <vt:lpstr>StaticPriceList_Headers</vt:lpstr>
      <vt:lpstr>'Static $ NoSoft'!StaticPriceList_Names</vt:lpstr>
      <vt:lpstr>StaticPriceList_Names</vt:lpstr>
      <vt:lpstr>STD_GenCalib_Drivers_Instr_Techsup</vt:lpstr>
      <vt:lpstr>SUITE_IndexClientVersion</vt:lpstr>
      <vt:lpstr>SUITE_IndexModelClient</vt:lpstr>
      <vt:lpstr>SUITE_IndexModelSoftware</vt:lpstr>
      <vt:lpstr>SUITE_IndexScanner</vt:lpstr>
      <vt:lpstr>SUITE_IndexSoftware</vt:lpstr>
      <vt:lpstr>SUITE_N_AlreadyHaveSoftware</vt:lpstr>
      <vt:lpstr>SUITE_N_Software</vt:lpstr>
      <vt:lpstr>SUITE_N_System</vt:lpstr>
      <vt:lpstr>SUITE_N_UpgradeUpdate</vt:lpstr>
      <vt:lpstr>SUITE_Option1</vt:lpstr>
      <vt:lpstr>SUITE_Option10</vt:lpstr>
      <vt:lpstr>SUITE_Option11</vt:lpstr>
      <vt:lpstr>SUITE_Option12</vt:lpstr>
      <vt:lpstr>SUITE_Option2</vt:lpstr>
      <vt:lpstr>SUITE_Option3</vt:lpstr>
      <vt:lpstr>SUITE_Option4</vt:lpstr>
      <vt:lpstr>SUITE_Option5</vt:lpstr>
      <vt:lpstr>SUITE_Option6</vt:lpstr>
      <vt:lpstr>SUITE_Option7</vt:lpstr>
      <vt:lpstr>SUITE_Option8</vt:lpstr>
      <vt:lpstr>SUITE_Option9</vt:lpstr>
      <vt:lpstr>SUITE_OptionUpgrade</vt:lpstr>
      <vt:lpstr>SUITE_OptionXL</vt:lpstr>
      <vt:lpstr>SUITE_SoftwareFullNames</vt:lpstr>
      <vt:lpstr>SUITE_SoftwareList</vt:lpstr>
      <vt:lpstr>SUITE_UpgradeNModels</vt:lpstr>
      <vt:lpstr>SUITE_YearClient</vt:lpstr>
      <vt:lpstr>SUITE_YearMostRecent</vt:lpstr>
      <vt:lpstr>SuperUser</vt:lpstr>
      <vt:lpstr>TextTrayWarranty</vt:lpstr>
      <vt:lpstr>TotalPackages</vt:lpstr>
      <vt:lpstr>TotalWeight</vt:lpstr>
      <vt:lpstr>Tray1To3</vt:lpstr>
      <vt:lpstr>Tray1To4</vt:lpstr>
      <vt:lpstr>Tray4to10</vt:lpstr>
      <vt:lpstr>UpdateMinPrice</vt:lpstr>
      <vt:lpstr>UpdateNAnnesMax</vt:lpstr>
      <vt:lpstr>UpdateResidualValueAfterAnneesMax</vt:lpstr>
      <vt:lpstr>VARS_Home_En</vt:lpstr>
      <vt:lpstr>VARS_Home_Fr</vt:lpstr>
      <vt:lpstr>VARS_Home_PasSameClient_En</vt:lpstr>
      <vt:lpstr>VARS_Home_PasSameClient_Fr</vt:lpstr>
      <vt:lpstr>VARS_Range_ChkBoxInternetDownload</vt:lpstr>
      <vt:lpstr>VARS_RowNumSelectedCountry</vt:lpstr>
      <vt:lpstr>WeightUSBKey</vt:lpstr>
      <vt:lpstr>YearOfList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 Guay</dc:creator>
  <cp:lastModifiedBy>Diane Garant</cp:lastModifiedBy>
  <cp:lastPrinted>2025-02-03T18:26:06Z</cp:lastPrinted>
  <dcterms:created xsi:type="dcterms:W3CDTF">2021-03-31T10:47:42Z</dcterms:created>
  <dcterms:modified xsi:type="dcterms:W3CDTF">2025-02-10T14:37:28Z</dcterms:modified>
</cp:coreProperties>
</file>